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60" activeTab="0"/>
  </bookViews>
  <sheets>
    <sheet name="FE" sheetId="1" r:id="rId1"/>
  </sheets>
  <definedNames/>
  <calcPr fullCalcOnLoad="1"/>
</workbook>
</file>

<file path=xl/sharedStrings.xml><?xml version="1.0" encoding="utf-8"?>
<sst xmlns="http://schemas.openxmlformats.org/spreadsheetml/2006/main" count="1183" uniqueCount="1124">
  <si>
    <t>CODE NAME</t>
  </si>
  <si>
    <t>CODE NUMBER</t>
  </si>
  <si>
    <t>PEDIGREE</t>
  </si>
  <si>
    <t>TPI</t>
  </si>
  <si>
    <t>PTAM</t>
  </si>
  <si>
    <t>PTAF</t>
  </si>
  <si>
    <t>PTAF%</t>
  </si>
  <si>
    <t>PTAP</t>
  </si>
  <si>
    <t>PTAP%</t>
  </si>
  <si>
    <t>PTAT</t>
  </si>
  <si>
    <t>UDC</t>
  </si>
  <si>
    <t>PL</t>
  </si>
  <si>
    <t>FE</t>
  </si>
  <si>
    <t>SCS</t>
  </si>
  <si>
    <t>FI</t>
  </si>
  <si>
    <t>DPR</t>
  </si>
  <si>
    <t>SCE</t>
  </si>
  <si>
    <t>250HO13267</t>
  </si>
  <si>
    <t>MONTROSS X SUPERSIRE X SNOWMAN</t>
  </si>
  <si>
    <t>14HO13758</t>
  </si>
  <si>
    <t>MODESTY X DONATELLO X IOTA</t>
  </si>
  <si>
    <t>14HO07703</t>
  </si>
  <si>
    <t>MONTROSS X SHERAC X NIAGRA</t>
  </si>
  <si>
    <t>7HO12255</t>
  </si>
  <si>
    <t>SUPERSIRE X BOOKEM X JOSE</t>
  </si>
  <si>
    <t>7HO13979</t>
  </si>
  <si>
    <t>MODESTY X SUPERSIRE X PLANET</t>
  </si>
  <si>
    <t>7HO13504</t>
  </si>
  <si>
    <t>JOSUPER X MOGUL X SOCRATES</t>
  </si>
  <si>
    <t>7HO12943</t>
  </si>
  <si>
    <t>JEDI X SUPERSIRE X MAN-O-MAN</t>
  </si>
  <si>
    <t>7HO13917</t>
  </si>
  <si>
    <t>HANG-TIME X BALISTO X SUPERSIRE</t>
  </si>
  <si>
    <t>7HO12952</t>
  </si>
  <si>
    <t>HANG-TIME X SUPERSIRE X SHAMROCK</t>
  </si>
  <si>
    <t>250HO13824</t>
  </si>
  <si>
    <t>MODESTY X BALISTO X MOGUL</t>
  </si>
  <si>
    <t>7HO13642</t>
  </si>
  <si>
    <t>JETT X GREENWAY X SHAMROCK</t>
  </si>
  <si>
    <t>7HO13752</t>
  </si>
  <si>
    <t>JEDI X TANGO X IOTA</t>
  </si>
  <si>
    <t>7HO12811</t>
  </si>
  <si>
    <t>RUBICON X SUPERSIRE X MAN-O-MAN</t>
  </si>
  <si>
    <t>507HO12997</t>
  </si>
  <si>
    <t>MODESTY X MARDI GRAS X NUMERO UNO</t>
  </si>
  <si>
    <t>7HO12165</t>
  </si>
  <si>
    <t>MOGUL X BOLTON X ALTAROLEX</t>
  </si>
  <si>
    <t>7HO11986</t>
  </si>
  <si>
    <t>SUPERSIRE X ALTAROSS X PLANET</t>
  </si>
  <si>
    <t>7HO12868</t>
  </si>
  <si>
    <t>14HO07796</t>
  </si>
  <si>
    <t>SILVER X SUPERSIRE X MAN-O-MAN</t>
  </si>
  <si>
    <t>14HO13925</t>
  </si>
  <si>
    <t>MODESTY X DAY X SHARKY</t>
  </si>
  <si>
    <t>507HO13771</t>
  </si>
  <si>
    <t>MODESTY X SUPERSIRE X ROBUST</t>
  </si>
  <si>
    <t>14HO14038</t>
  </si>
  <si>
    <t>DETOUR X JOSUPER X MIXER</t>
  </si>
  <si>
    <t>14HO07743</t>
  </si>
  <si>
    <t>YODER X SUPERSIRE X SUPER</t>
  </si>
  <si>
    <t>7HO13766</t>
  </si>
  <si>
    <t>14HO07868</t>
  </si>
  <si>
    <t>JEDI X ALTAOAK X MAGNUS</t>
  </si>
  <si>
    <t>7HO13764</t>
  </si>
  <si>
    <t>7HO12256</t>
  </si>
  <si>
    <t>SUPERSIRE X BOLTON X ROLEX</t>
  </si>
  <si>
    <t>7HO12788</t>
  </si>
  <si>
    <t>JOSUPER X SHOTGLASS X ROBUST</t>
  </si>
  <si>
    <t>7HO13284</t>
  </si>
  <si>
    <t>MONTROSS X SUPERSIRE X MAN-O-MAN</t>
  </si>
  <si>
    <t>14HO13761</t>
  </si>
  <si>
    <t>7HO13568</t>
  </si>
  <si>
    <t>MIDGARD X DAVINCI X SNOWMAN</t>
  </si>
  <si>
    <t>7HO12742</t>
  </si>
  <si>
    <t>MONTROSS X SHAMROCK X SHOTTLE</t>
  </si>
  <si>
    <t>7HO13334</t>
  </si>
  <si>
    <t>KINGPIN X SUPERSIRE X SNOWMAN</t>
  </si>
  <si>
    <t>14HO13666</t>
  </si>
  <si>
    <t>DUKE X RODGERS X NUMERO UNO</t>
  </si>
  <si>
    <t>7HO12821</t>
  </si>
  <si>
    <t>YODER X MORGAN X ROBUST</t>
  </si>
  <si>
    <t>7HO12697</t>
  </si>
  <si>
    <t>14HO13940</t>
  </si>
  <si>
    <t>MODESTY X ALTAFRIDO X ROBUST</t>
  </si>
  <si>
    <t>7HO13302</t>
  </si>
  <si>
    <t>MONTROSS X MASSEY X MINOS</t>
  </si>
  <si>
    <t>14HO07909</t>
  </si>
  <si>
    <t>MODESTY X YODER X O-COSMOPOLITAN</t>
  </si>
  <si>
    <t>7HO11351</t>
  </si>
  <si>
    <t>ROBUST X PLANET X SHOTTLE</t>
  </si>
  <si>
    <t>14HO07347</t>
  </si>
  <si>
    <t>7HO13770</t>
  </si>
  <si>
    <t>14HO13923</t>
  </si>
  <si>
    <t>FERDINAND X SUPERSIRE X SNOWMAN</t>
  </si>
  <si>
    <t>7HO12901</t>
  </si>
  <si>
    <t>14HO07887</t>
  </si>
  <si>
    <t>MODESTY X KINGBOY X SUPERSIRE</t>
  </si>
  <si>
    <t>7HO13492</t>
  </si>
  <si>
    <t>TROY X SUPERSIRE X SNOWMAN</t>
  </si>
  <si>
    <t>7HO13604</t>
  </si>
  <si>
    <t>JETT X BUTLER X SUPERSIRE</t>
  </si>
  <si>
    <t>7HO13624</t>
  </si>
  <si>
    <t>MODESTY X MONTROSS X SHAN</t>
  </si>
  <si>
    <t>7HO12266</t>
  </si>
  <si>
    <t>MOGUL X PLANET X BUCKEYE</t>
  </si>
  <si>
    <t>7HO13780</t>
  </si>
  <si>
    <t>MODESTY X MIDNIGHT X MOGUL</t>
  </si>
  <si>
    <t>7HO13696</t>
  </si>
  <si>
    <t>SCENARIO X YODER X GALAXY</t>
  </si>
  <si>
    <t>7HO12600</t>
  </si>
  <si>
    <t>PETY X SUPERSIRE X BOLTON</t>
  </si>
  <si>
    <t>7HO13741</t>
  </si>
  <si>
    <t>MODESTY X SILVER X MCCUTCHEN</t>
  </si>
  <si>
    <t>7HO12602</t>
  </si>
  <si>
    <t>MONTROSS X SUPERSONIC X MAN-O-MAN</t>
  </si>
  <si>
    <t>507HO12941</t>
  </si>
  <si>
    <t>JEDI X DAY X SHARKY</t>
  </si>
  <si>
    <t>7HO13928</t>
  </si>
  <si>
    <t>EXPRESSO X MONTROSS X NUMERO UNO</t>
  </si>
  <si>
    <t>7HO12945</t>
  </si>
  <si>
    <t>MODESTY X KINGBOY X MOGUL</t>
  </si>
  <si>
    <t>14HO07770</t>
  </si>
  <si>
    <t>507HO13981</t>
  </si>
  <si>
    <t>BANDARES X KINGBOY X SUPERSIRE</t>
  </si>
  <si>
    <t>7HO12819</t>
  </si>
  <si>
    <t>YODER X SUPERSIRE X RUSSELL</t>
  </si>
  <si>
    <t>14HO13707</t>
  </si>
  <si>
    <t>MODESTY X DAMARIS X SUPERSIRE</t>
  </si>
  <si>
    <t>507HO13598</t>
  </si>
  <si>
    <t>MODESTY X MONTROSS X SUPERSIRE</t>
  </si>
  <si>
    <t>14HO07901</t>
  </si>
  <si>
    <t>GLAUS X SUPERSIRE X FACEBOOK</t>
  </si>
  <si>
    <t>7HO13832</t>
  </si>
  <si>
    <t>MARKLEY X ERASER P X SUPERSIRE</t>
  </si>
  <si>
    <t>14HO07454</t>
  </si>
  <si>
    <t>SUPERSIRE X JARDIN X TITANIC</t>
  </si>
  <si>
    <t>7HO13250</t>
  </si>
  <si>
    <t>MONTROSS X SUPERSIRE X BOOKEM</t>
  </si>
  <si>
    <t>14HO07823</t>
  </si>
  <si>
    <t>MONTROSS X MAURICE X ROBUST</t>
  </si>
  <si>
    <t>7HO13716</t>
  </si>
  <si>
    <t>MODESTY X TANGO X SUPERSIRE</t>
  </si>
  <si>
    <t>7HO13647</t>
  </si>
  <si>
    <t>FERDINAND X ERASER P X SUPERSIRE</t>
  </si>
  <si>
    <t>7HO13827</t>
  </si>
  <si>
    <t>7HO12984</t>
  </si>
  <si>
    <t>JEDI X BALISTO X MOGUL</t>
  </si>
  <si>
    <t>7HO13251</t>
  </si>
  <si>
    <t>14HO07662</t>
  </si>
  <si>
    <t>MONTROSS X NUMERO UNO X GOLDWYN</t>
  </si>
  <si>
    <t>7HO13759</t>
  </si>
  <si>
    <t>JEDI X SNOWMAN X PLANET</t>
  </si>
  <si>
    <t>14HO07828</t>
  </si>
  <si>
    <t>ALTAHOTROD X RANSOM X ROBUST</t>
  </si>
  <si>
    <t>7HO12948</t>
  </si>
  <si>
    <t>MODESTY X MERIDIAN X SHOTTLE</t>
  </si>
  <si>
    <t>7HO13592</t>
  </si>
  <si>
    <t>JEDI X MOONRAY X BOOKEM</t>
  </si>
  <si>
    <t>7HO11985</t>
  </si>
  <si>
    <t>SUPERSIRE X DOMAIN X PLANET</t>
  </si>
  <si>
    <t>7HO13714</t>
  </si>
  <si>
    <t>JEDI X CAMARO X NUMERO UNO</t>
  </si>
  <si>
    <t>7HO11836</t>
  </si>
  <si>
    <t>ROBUST X AL X ZENITH</t>
  </si>
  <si>
    <t>7HO12320</t>
  </si>
  <si>
    <t>HEADLINER X MAN-O-MAN X LAUDAN</t>
  </si>
  <si>
    <t>250HO13736</t>
  </si>
  <si>
    <t>MODESTY X CAPITAL GAIN X MOGUL</t>
  </si>
  <si>
    <t>7HO13497</t>
  </si>
  <si>
    <t>DAMARIS X SUPERSIRE X SNOWMAN</t>
  </si>
  <si>
    <t>7HO12947</t>
  </si>
  <si>
    <t>JEDI X TANGO X FACEBOOK</t>
  </si>
  <si>
    <t>7HO13922</t>
  </si>
  <si>
    <t>DUKE X SHAMROCK X MAN-O-MAN</t>
  </si>
  <si>
    <t>14HO07328</t>
  </si>
  <si>
    <t>MOGUL X OBSERVER X SHOTTLE</t>
  </si>
  <si>
    <t>7HO12954</t>
  </si>
  <si>
    <t>DESIRED X SYMPATICO *RC X BRONCO</t>
  </si>
  <si>
    <t>507HO13907</t>
  </si>
  <si>
    <t>JEDI X KINGBOY X SUPERSIRE</t>
  </si>
  <si>
    <t>7HO12998</t>
  </si>
  <si>
    <t>MODESTY X NUMERO UNO X COLBY</t>
  </si>
  <si>
    <t>7HO13680</t>
  </si>
  <si>
    <t>JEDI X MULTIPLY X SNOWMAN</t>
  </si>
  <si>
    <t>507HO12983</t>
  </si>
  <si>
    <t>JEDI X JACEY X SUPER</t>
  </si>
  <si>
    <t>7HO12897</t>
  </si>
  <si>
    <t>ALTASPRING X SUPERSIRE X ROBUST</t>
  </si>
  <si>
    <t>7HO13333</t>
  </si>
  <si>
    <t>YODER X SUPERSIRE X BOOKEM</t>
  </si>
  <si>
    <t>7HO14042</t>
  </si>
  <si>
    <t>ZIPIT-P X BALISTO X EFFECT P-RED</t>
  </si>
  <si>
    <t>14HO13748</t>
  </si>
  <si>
    <t>JEDI X TANGO X SUPERSIRE</t>
  </si>
  <si>
    <t>507HO12886</t>
  </si>
  <si>
    <t>DENVER X NUMERO UNO X ROBUST</t>
  </si>
  <si>
    <t>14HO12994</t>
  </si>
  <si>
    <t>MODESTY X MACK X MAN-O-MAN</t>
  </si>
  <si>
    <t>14HO13976</t>
  </si>
  <si>
    <t>BANDARES X LOTTOMAX X SUPERSIRE</t>
  </si>
  <si>
    <t>7HO12928</t>
  </si>
  <si>
    <t>BAYONET X TANGO X MOGUL</t>
  </si>
  <si>
    <t>507HO12940</t>
  </si>
  <si>
    <t>14HO13600</t>
  </si>
  <si>
    <t>JEDI X BUTLER X SUPERSIRE</t>
  </si>
  <si>
    <t>14HO13980</t>
  </si>
  <si>
    <t>7HO13322</t>
  </si>
  <si>
    <t>TATUM X SUPERSIRE X HILL</t>
  </si>
  <si>
    <t>14HO07876</t>
  </si>
  <si>
    <t>MODESTY X SUPERSIRE X SHOTTLE</t>
  </si>
  <si>
    <t>7HO12971</t>
  </si>
  <si>
    <t>JEDI X TANGO X NUMERO UNO</t>
  </si>
  <si>
    <t>507HO13715</t>
  </si>
  <si>
    <t>MODESTY X BOMBERO X RANSOM</t>
  </si>
  <si>
    <t>7HO14160</t>
  </si>
  <si>
    <t>ZIPIT-P X KINGBOY X SUPERSIRE</t>
  </si>
  <si>
    <t>507HO13628</t>
  </si>
  <si>
    <t>MODESTY X BALISTO X NUMERO UNO</t>
  </si>
  <si>
    <t>14HO13767</t>
  </si>
  <si>
    <t>7HO12026</t>
  </si>
  <si>
    <t>MOGUL X PLANET X SHOTTLE</t>
  </si>
  <si>
    <t>14HO07640</t>
  </si>
  <si>
    <t>BALISTO X MOGUL X OBSERVER</t>
  </si>
  <si>
    <t>14HO07831</t>
  </si>
  <si>
    <t>ALTASPRING X SUPERSIRE X AL</t>
  </si>
  <si>
    <t>7HO13605</t>
  </si>
  <si>
    <t>JETT X KINGBOY X NUMERO UNO</t>
  </si>
  <si>
    <t>14HO07426</t>
  </si>
  <si>
    <t>SUPERSIRE X SOTO X LAWN BOY P-RED</t>
  </si>
  <si>
    <t>250HO12790</t>
  </si>
  <si>
    <t>KINGBOY X MOGUL X SOCRATES</t>
  </si>
  <si>
    <t>7HO12973</t>
  </si>
  <si>
    <t>7HO13094</t>
  </si>
  <si>
    <t>STERLING X ROBUST X PLANET</t>
  </si>
  <si>
    <t>14HO07830</t>
  </si>
  <si>
    <t>ALTAHOTROD X SUPERSIRE X MASSEY</t>
  </si>
  <si>
    <t>7HO12917</t>
  </si>
  <si>
    <t>ALCO X SUPERSIRE X MAN-O-MAN</t>
  </si>
  <si>
    <t>7HO11525</t>
  </si>
  <si>
    <t>ROBUST X PLANET X ELEGANT</t>
  </si>
  <si>
    <t>7HO12186</t>
  </si>
  <si>
    <t>MOGUL X BOLTON X ROLEX</t>
  </si>
  <si>
    <t>7HO11373</t>
  </si>
  <si>
    <t>ROBUST X PLANET X LYNCH</t>
  </si>
  <si>
    <t>14HO07800</t>
  </si>
  <si>
    <t>14HO07794</t>
  </si>
  <si>
    <t>7HO12095</t>
  </si>
  <si>
    <t>7HO11708</t>
  </si>
  <si>
    <t>BOOKEM X BRONCO X SHOTTLE</t>
  </si>
  <si>
    <t>7HO12837</t>
  </si>
  <si>
    <t>JOSUPER X MOGUL X SUPER</t>
  </si>
  <si>
    <t>7HO12942</t>
  </si>
  <si>
    <t>7HO12832</t>
  </si>
  <si>
    <t>SPARK X MOGUL X WATSON</t>
  </si>
  <si>
    <t>7HO13262</t>
  </si>
  <si>
    <t>MONTROSS X NUMERO UNO X SHAMROCK</t>
  </si>
  <si>
    <t>7HO11524</t>
  </si>
  <si>
    <t>14HO07799</t>
  </si>
  <si>
    <t>ALTASPRING X JABIR X BOLTON</t>
  </si>
  <si>
    <t>14HO13738</t>
  </si>
  <si>
    <t>MODESTY X LUCID X LEXOR</t>
  </si>
  <si>
    <t>14HO07864</t>
  </si>
  <si>
    <t>RUGER X FACEBOOK X MAC</t>
  </si>
  <si>
    <t>14HO07810</t>
  </si>
  <si>
    <t>7HO11725</t>
  </si>
  <si>
    <t>SHAMROCK X FREDDIE X GOLDWYN</t>
  </si>
  <si>
    <t>7HO12898</t>
  </si>
  <si>
    <t>SPRING X SUPERSIRE X ROBUST</t>
  </si>
  <si>
    <t>14HO07851</t>
  </si>
  <si>
    <t>JUMP X SUPERSIRE X MAN-O-MAN</t>
  </si>
  <si>
    <t>7HO13701</t>
  </si>
  <si>
    <t>LYLAS X MONTROSS X NUMERO UNO</t>
  </si>
  <si>
    <t>7HO13693</t>
  </si>
  <si>
    <t>FRANCHISE X MONTROSS X NUMERO UNO</t>
  </si>
  <si>
    <t>14HO07819</t>
  </si>
  <si>
    <t>SILVER X SUPERSIRE X COLT P-RED</t>
  </si>
  <si>
    <t>7HO11621</t>
  </si>
  <si>
    <t>SNOWMAN X SOCRATES X O MAN</t>
  </si>
  <si>
    <t>7HO11752</t>
  </si>
  <si>
    <t>BOOKEM X O MAN X MANAT</t>
  </si>
  <si>
    <t>14HO07888</t>
  </si>
  <si>
    <t>BAYONET X SUPERSIRE X SHOTTLE</t>
  </si>
  <si>
    <t>14HO07827</t>
  </si>
  <si>
    <t>BAYONET X MOGUL X MAN-O-MAN</t>
  </si>
  <si>
    <t>7HO14060</t>
  </si>
  <si>
    <t>MODESTY X RELIEF P X SNOWMAN</t>
  </si>
  <si>
    <t>7HO12778</t>
  </si>
  <si>
    <t>TATUM X MOGUL X ROBUST</t>
  </si>
  <si>
    <t>507HO13737</t>
  </si>
  <si>
    <t>714HO00050</t>
  </si>
  <si>
    <t>MONTEREY X SUDAN X BOLTON</t>
  </si>
  <si>
    <t>14HO07780</t>
  </si>
  <si>
    <t>JOSUPER X MOGUL X OBSERVER</t>
  </si>
  <si>
    <t>7HO11519</t>
  </si>
  <si>
    <t>ROBUST X MANGO X O MAN</t>
  </si>
  <si>
    <t>14HO07337</t>
  </si>
  <si>
    <t>MOGUL X MAN-O-MAN X MAC</t>
  </si>
  <si>
    <t>7HO13746</t>
  </si>
  <si>
    <t>JEDI X GREENWAY X GRAFEETI</t>
  </si>
  <si>
    <t>509HO12672</t>
  </si>
  <si>
    <t>MONTROSS X MOGUL X SUPER</t>
  </si>
  <si>
    <t>714HO00044</t>
  </si>
  <si>
    <t>MISSOURI X MOGUL X MAN-O-MAN</t>
  </si>
  <si>
    <t>7HO12611</t>
  </si>
  <si>
    <t>7HO11419</t>
  </si>
  <si>
    <t>14HO13943</t>
  </si>
  <si>
    <t>BANDARES X KINGBOY X MOGUL</t>
  </si>
  <si>
    <t>14HO07418</t>
  </si>
  <si>
    <t>SUPERSIRE X BOOKEM X DEX</t>
  </si>
  <si>
    <t>7HO13630</t>
  </si>
  <si>
    <t>MODESTY X CHEVROLET X MOGUL</t>
  </si>
  <si>
    <t>14HO07911</t>
  </si>
  <si>
    <t>MONTANA X SUPERSIRE X MOGUL</t>
  </si>
  <si>
    <t>14HO07738</t>
  </si>
  <si>
    <t>MONTROSS X SUPERSIRE X SHOTTLE</t>
  </si>
  <si>
    <t>7HO12787</t>
  </si>
  <si>
    <t>7HO12858</t>
  </si>
  <si>
    <t>YODER X NUMERO UNO X ROBUST</t>
  </si>
  <si>
    <t>507HO13608</t>
  </si>
  <si>
    <t>MODESTY X UNITE X SUPERSIRE</t>
  </si>
  <si>
    <t>14HO13750</t>
  </si>
  <si>
    <t>JEDI X TANGO X SHAMROCK</t>
  </si>
  <si>
    <t>7HO13328</t>
  </si>
  <si>
    <t>7HO12951</t>
  </si>
  <si>
    <t>MODESTY X MOGUL X MAN-O-MAN</t>
  </si>
  <si>
    <t>7HO13341</t>
  </si>
  <si>
    <t>DAMARIS X SUPERSIRE X GERARD</t>
  </si>
  <si>
    <t>14HO13858</t>
  </si>
  <si>
    <t>BANDARES X SUPERSIRE X BOOKEM</t>
  </si>
  <si>
    <t>14HO07801</t>
  </si>
  <si>
    <t>ALTASPRING X SUPERSIRE X MAN-O-MAN</t>
  </si>
  <si>
    <t>7HO14046</t>
  </si>
  <si>
    <t>MODESTY X KINGBOY X NUMERO UNO</t>
  </si>
  <si>
    <t>14HO07906</t>
  </si>
  <si>
    <t>ALTAFIREUP X SUPERSIRE X GRAFEETI</t>
  </si>
  <si>
    <t>7HO13934</t>
  </si>
  <si>
    <t>FERDINAND X TANGO X FACEBOOK</t>
  </si>
  <si>
    <t>7HO13727</t>
  </si>
  <si>
    <t>JEDI X RODGERS X SHAMROCK</t>
  </si>
  <si>
    <t>7HO14039</t>
  </si>
  <si>
    <t>MODESTY X CAMARO X MOGUL</t>
  </si>
  <si>
    <t>7HO12834</t>
  </si>
  <si>
    <t>SPARK X MOGUL X SHAMROCK</t>
  </si>
  <si>
    <t>7HO12999</t>
  </si>
  <si>
    <t>MODESTY X JACEY X SHAMROCK</t>
  </si>
  <si>
    <t>7HO13774</t>
  </si>
  <si>
    <t>JEDI X DAY X SNOWMAN</t>
  </si>
  <si>
    <t>7HO12903</t>
  </si>
  <si>
    <t>PROFIT X GREATEST X SUPER</t>
  </si>
  <si>
    <t>7HO12899</t>
  </si>
  <si>
    <t>7HO11833</t>
  </si>
  <si>
    <t>14HO07834</t>
  </si>
  <si>
    <t>SILVER X SUPERSIRE X OBSERVER</t>
  </si>
  <si>
    <t>14HO07870</t>
  </si>
  <si>
    <t>BUSINESS PLAN X PETY X SUPERSIRE</t>
  </si>
  <si>
    <t>14HO07861</t>
  </si>
  <si>
    <t>SILVER X SUPERSIRE X PLAN</t>
  </si>
  <si>
    <t>250HO01009</t>
  </si>
  <si>
    <t>GARRETT X SHOTTLE X CHAMPION</t>
  </si>
  <si>
    <t>7HO13782</t>
  </si>
  <si>
    <t>JEDI X MARDI GRAS X LADD P-RED</t>
  </si>
  <si>
    <t>14HO07784</t>
  </si>
  <si>
    <t>POWERBALL-P X PREDESTINE X MAN-O-MAN</t>
  </si>
  <si>
    <t>7HO12978</t>
  </si>
  <si>
    <t>HANG-TIME X JACEY X NUMERO UNO</t>
  </si>
  <si>
    <t>14HO14024</t>
  </si>
  <si>
    <t>JEDI X DAMARIS X SHAN</t>
  </si>
  <si>
    <t>250HO13539</t>
  </si>
  <si>
    <t>SILVER X MULTIPLY X SNOWMAN</t>
  </si>
  <si>
    <t>14HO07807</t>
  </si>
  <si>
    <t>POWERBALL-P X MOGUL X TRIGGER</t>
  </si>
  <si>
    <t>14HO07852</t>
  </si>
  <si>
    <t>SUPERSHOT X MOGUL X BOOKEM</t>
  </si>
  <si>
    <t>7HO13572</t>
  </si>
  <si>
    <t>JEDI X BALISTO X NUMERO UNO</t>
  </si>
  <si>
    <t>7HO12965</t>
  </si>
  <si>
    <t>SARGEON X SUPERSIRE X MAN-O-MAN</t>
  </si>
  <si>
    <t>7HO11839</t>
  </si>
  <si>
    <t>14HO07714</t>
  </si>
  <si>
    <t>CHOPS X SHOTGLASS X PLANET</t>
  </si>
  <si>
    <t>7HO13866</t>
  </si>
  <si>
    <t>FRANCHISE X KINGBOY X NUMERO UNO</t>
  </si>
  <si>
    <t>7HO13930</t>
  </si>
  <si>
    <t>FERDINAND X MONTEREY X PETRONE</t>
  </si>
  <si>
    <t>7HO11981</t>
  </si>
  <si>
    <t>SUPERSIRE X MANO X COLBY</t>
  </si>
  <si>
    <t>14HO07744</t>
  </si>
  <si>
    <t>SILVER X NUMERO UNO X LAWN BOY P-RED</t>
  </si>
  <si>
    <t>7HO13734</t>
  </si>
  <si>
    <t>JEDI X EPIC X MAN-O-MAN</t>
  </si>
  <si>
    <t>250HO13829</t>
  </si>
  <si>
    <t>FLAGSHIP X SPRING X EARNHARDT P</t>
  </si>
  <si>
    <t>14HO07792</t>
  </si>
  <si>
    <t>SILVER X ALTAOAK X ROBUST</t>
  </si>
  <si>
    <t>507HO12974</t>
  </si>
  <si>
    <t>14HO07746</t>
  </si>
  <si>
    <t>SILVER X SUPERSIRE X SHOTTBOLT</t>
  </si>
  <si>
    <t>7HO13289</t>
  </si>
  <si>
    <t>MONTROSS X DEAN X ROBUST</t>
  </si>
  <si>
    <t>14HO07891</t>
  </si>
  <si>
    <t>YODER X KINGBOY X SUPERSIRE</t>
  </si>
  <si>
    <t>7HO13753</t>
  </si>
  <si>
    <t>MARTY X DEDUCTIVE X DORCY</t>
  </si>
  <si>
    <t>7HO12992</t>
  </si>
  <si>
    <t>MODESTY X BOMBERO X MOGUL</t>
  </si>
  <si>
    <t>7HO13784</t>
  </si>
  <si>
    <t>MODESTY X MARDI GRAS X LADD P-RED</t>
  </si>
  <si>
    <t>7HO12597</t>
  </si>
  <si>
    <t>TANGO X MOGUL X BOLTON</t>
  </si>
  <si>
    <t>14HO07872</t>
  </si>
  <si>
    <t>250HO13743</t>
  </si>
  <si>
    <t>HANG-TIME X BOMBERO X MOGUL</t>
  </si>
  <si>
    <t>14HO14061</t>
  </si>
  <si>
    <t>JEDI X GAMBLER X EPIC</t>
  </si>
  <si>
    <t>7HO12690</t>
  </si>
  <si>
    <t>MONTROSS X GRAFEETI X SUPER</t>
  </si>
  <si>
    <t>14HO07907</t>
  </si>
  <si>
    <t>ALTAFIREUP X SUPERSIRE X MASSEY</t>
  </si>
  <si>
    <t>7HO11838</t>
  </si>
  <si>
    <t>GRAFEETI X PLANET X SHOTTLE</t>
  </si>
  <si>
    <t>250HO13194</t>
  </si>
  <si>
    <t>DAVINCI X SNOWMAN X SHOTTLE</t>
  </si>
  <si>
    <t>7HO12449</t>
  </si>
  <si>
    <t>SUPERSIRE X BOOKEM X MAN-O-MAN</t>
  </si>
  <si>
    <t>7HO13607</t>
  </si>
  <si>
    <t>509HO12745</t>
  </si>
  <si>
    <t>YODER X SUPERSIRE X O-STYLE</t>
  </si>
  <si>
    <t>7HO12876</t>
  </si>
  <si>
    <t>POWERBALL-P X SUPERSIRE X OBSERVER</t>
  </si>
  <si>
    <t>7HO12418</t>
  </si>
  <si>
    <t>SUPERSIRE X GABOR X ALTABAXTER</t>
  </si>
  <si>
    <t>7HO13811</t>
  </si>
  <si>
    <t>ALLTIME X MONTROSS X EPIC</t>
  </si>
  <si>
    <t>7HO12949</t>
  </si>
  <si>
    <t>14HO07811</t>
  </si>
  <si>
    <t>DONATELLO X MOGUL X MAN-O-MAN</t>
  </si>
  <si>
    <t>7HO12866</t>
  </si>
  <si>
    <t>SPARK X MOONRAY X BOOKEM</t>
  </si>
  <si>
    <t>509HO13468</t>
  </si>
  <si>
    <t>SPRING X SUPERSIRE X BUCKEYE</t>
  </si>
  <si>
    <t>7HO11314</t>
  </si>
  <si>
    <t>DORCY X MARSH X O MAN</t>
  </si>
  <si>
    <t>7HO12864</t>
  </si>
  <si>
    <t>YODER X SNOWMAN X SHOTTLE</t>
  </si>
  <si>
    <t>7HO12801</t>
  </si>
  <si>
    <t>SUPERSHOT X NUMERO UNO X MAN-O-MAN</t>
  </si>
  <si>
    <t>7HO13461</t>
  </si>
  <si>
    <t>AICON X SUPERSIRE X BOOKEM</t>
  </si>
  <si>
    <t>14HO07768</t>
  </si>
  <si>
    <t>SUPERSHOT X NUMERO UNO X PLANET</t>
  </si>
  <si>
    <t>7HO12157</t>
  </si>
  <si>
    <t>MOGUL X BRONCO X GOLDWYN</t>
  </si>
  <si>
    <t>14HO07631</t>
  </si>
  <si>
    <t>MONTROSS X SHAMROCK X FREDDIE</t>
  </si>
  <si>
    <t>250HO12975</t>
  </si>
  <si>
    <t>714HO00043</t>
  </si>
  <si>
    <t>SILVER X MOGUL X SUPER</t>
  </si>
  <si>
    <t>7HO12179</t>
  </si>
  <si>
    <t>MCCUTCHEN X GOLDWYN X DURHAM</t>
  </si>
  <si>
    <t>14HO14049</t>
  </si>
  <si>
    <t>7HO12972</t>
  </si>
  <si>
    <t>JEDI X MOGUL X ROBUST</t>
  </si>
  <si>
    <t>7HO13826</t>
  </si>
  <si>
    <t>PAT-RED X AIKMAN X SUPER</t>
  </si>
  <si>
    <t>14HO07842</t>
  </si>
  <si>
    <t>BAYONET X MOGUL X BOOKEM</t>
  </si>
  <si>
    <t>7HO13662</t>
  </si>
  <si>
    <t>HEISENBERG X KINGBOY X ALTAOAK</t>
  </si>
  <si>
    <t>7HO12181</t>
  </si>
  <si>
    <t>SUPERSIRE X GOLDWYN X DURHAM</t>
  </si>
  <si>
    <t>250HO13261</t>
  </si>
  <si>
    <t>7HO14163</t>
  </si>
  <si>
    <t>BANDARES X POWERBALL-P X DORCY</t>
  </si>
  <si>
    <t>507HO12993</t>
  </si>
  <si>
    <t>MODESTY X EPIC X MAN-O-MAN</t>
  </si>
  <si>
    <t>7HO12195</t>
  </si>
  <si>
    <t>MOGUL X PLANET X LYNCH</t>
  </si>
  <si>
    <t>7HO13035</t>
  </si>
  <si>
    <t>SUPERSIRE X BOOKEM X SHOTTLE</t>
  </si>
  <si>
    <t>7HO12605</t>
  </si>
  <si>
    <t>MONTROSS X NUMERO UNO X SUPER</t>
  </si>
  <si>
    <t>14HO07804</t>
  </si>
  <si>
    <t>RODGERS X MOGUL X ROBUST</t>
  </si>
  <si>
    <t>14HO07878</t>
  </si>
  <si>
    <t>JEDI X FLAME X PLANET</t>
  </si>
  <si>
    <t>7HO11383</t>
  </si>
  <si>
    <t>BOOKEM X SHOTTLE X O MAN</t>
  </si>
  <si>
    <t>7HO12014</t>
  </si>
  <si>
    <t>MOGUL X WATSON X OMAN</t>
  </si>
  <si>
    <t>7HO13573</t>
  </si>
  <si>
    <t>MILLINGTON X JACEY X SUDAN</t>
  </si>
  <si>
    <t>14HO13603</t>
  </si>
  <si>
    <t>JEDI X JACEY X SNOWMAN</t>
  </si>
  <si>
    <t>7HO12105</t>
  </si>
  <si>
    <t>MOGUL X SUPER X RAMOS</t>
  </si>
  <si>
    <t>7HO11546</t>
  </si>
  <si>
    <t>BOOKEM X O MAN X MTOTO</t>
  </si>
  <si>
    <t>550HO13857</t>
  </si>
  <si>
    <t>14HO07726</t>
  </si>
  <si>
    <t>SUPERSIRE X MOGUL X SEBASTIAN</t>
  </si>
  <si>
    <t>14HO07736</t>
  </si>
  <si>
    <t>SUPERSHOT X MOGUL X FREDDIE</t>
  </si>
  <si>
    <t>7HO12967</t>
  </si>
  <si>
    <t>ANCHORMAN X SUPERSIRE X MAN-O-MAN</t>
  </si>
  <si>
    <t>7HO12724</t>
  </si>
  <si>
    <t>SUPERSHOT X GALAXY X ROBUST</t>
  </si>
  <si>
    <t>14HO07793</t>
  </si>
  <si>
    <t>SILVER X SUPERSIRE X BOLTON</t>
  </si>
  <si>
    <t>7HO12960</t>
  </si>
  <si>
    <t>PROFIT X SUPERSIRE X MAN-O-MAN</t>
  </si>
  <si>
    <t>7HO12212</t>
  </si>
  <si>
    <t>14HO07722</t>
  </si>
  <si>
    <t>TROY X SUPERSIRE X EXPLODE</t>
  </si>
  <si>
    <t>14HO07751</t>
  </si>
  <si>
    <t>SILVER X SUPERSIRE X DIGGER</t>
  </si>
  <si>
    <t>14HO07349</t>
  </si>
  <si>
    <t>MOGUL X FREDDIE X LANCELOT</t>
  </si>
  <si>
    <t>14HO07231</t>
  </si>
  <si>
    <t>MOGUL X MAN-O-MAN X GOLDWYN</t>
  </si>
  <si>
    <t>7HO13576</t>
  </si>
  <si>
    <t>JEDI X HEADWAY X GALAXY</t>
  </si>
  <si>
    <t>7HO11946</t>
  </si>
  <si>
    <t>EPIC X SOCRATES X O MAN</t>
  </si>
  <si>
    <t>250HO13531</t>
  </si>
  <si>
    <t>14HO07857</t>
  </si>
  <si>
    <t>MONTEREY X MOGUL X MAN-O-MAN</t>
  </si>
  <si>
    <t>14HO14065</t>
  </si>
  <si>
    <t>7HO12671</t>
  </si>
  <si>
    <t>YODER X MASSEY X SUPER</t>
  </si>
  <si>
    <t>14HO07387</t>
  </si>
  <si>
    <t>HEADLINER X DORCY BY X O MAN</t>
  </si>
  <si>
    <t>7HO12814</t>
  </si>
  <si>
    <t>POWERBALL-P X EFFECT P-RED X ROBUST</t>
  </si>
  <si>
    <t>14HO07816</t>
  </si>
  <si>
    <t>KINGBOY X SUPERSIRE X MAN-O-MAN</t>
  </si>
  <si>
    <t>509HO12638</t>
  </si>
  <si>
    <t>MONTROSS X BOOKEM X SHOTTLE</t>
  </si>
  <si>
    <t>250HO13684</t>
  </si>
  <si>
    <t>LYLAS X JENNINGS X MCCUTCHEN</t>
  </si>
  <si>
    <t>7HO11395</t>
  </si>
  <si>
    <t>SHAMROCK X SHOTTLE X O MAN</t>
  </si>
  <si>
    <t>7HO13281</t>
  </si>
  <si>
    <t>MODERN-P X SUPERSIRE X BOOKEM</t>
  </si>
  <si>
    <t>14HO07798</t>
  </si>
  <si>
    <t>MONTEREY X SUPERSIRE X MAN-O-MAN</t>
  </si>
  <si>
    <t>7HO12988</t>
  </si>
  <si>
    <t>MODESTY X JACEY X NUMERO UNO</t>
  </si>
  <si>
    <t>14HO07763</t>
  </si>
  <si>
    <t>ALTA1STCLASS X SUPERSIRE X MASSEY</t>
  </si>
  <si>
    <t>7HO13276</t>
  </si>
  <si>
    <t>MONTROSS X SHAMROCK X GOLDWYN</t>
  </si>
  <si>
    <t>7HO13264</t>
  </si>
  <si>
    <t>HEADWAY X SUPERSIRE X BOOKEM</t>
  </si>
  <si>
    <t>7HO12777</t>
  </si>
  <si>
    <t>KINGBOY X SUPERSIRE X WINDBROOK</t>
  </si>
  <si>
    <t>14HO07829</t>
  </si>
  <si>
    <t>DAMARIS X MOGUL X FREDDIE</t>
  </si>
  <si>
    <t>7HO11644</t>
  </si>
  <si>
    <t>SNOWMAN X SHOTTLE X O MAN</t>
  </si>
  <si>
    <t>7HO13111</t>
  </si>
  <si>
    <t>YANCE X MAXUM X SHOTTLE</t>
  </si>
  <si>
    <t>7HO12970</t>
  </si>
  <si>
    <t>TOPGUN X DOORMAN X MAN-O-MAN</t>
  </si>
  <si>
    <t>14HO07730</t>
  </si>
  <si>
    <t>CABRIOLET X MOGUL X FREDDIE</t>
  </si>
  <si>
    <t>14HO07848</t>
  </si>
  <si>
    <t>CRANK IT X SUPERSIRE X SHOTTLE</t>
  </si>
  <si>
    <t>14HO07785</t>
  </si>
  <si>
    <t>ALL DAY*RC X SUPERSIRE X GOLDWYN</t>
  </si>
  <si>
    <t>714HO00037</t>
  </si>
  <si>
    <t>MCCUTCHEN X NIAGRA X ALTABAXTER</t>
  </si>
  <si>
    <t>14HO06905</t>
  </si>
  <si>
    <t>LION KING X SHOTTLE X RUBENS-RC</t>
  </si>
  <si>
    <t>250HO11837</t>
  </si>
  <si>
    <t>7HO11957</t>
  </si>
  <si>
    <t>MCCUTCHEN X DOMAIN X PLANET</t>
  </si>
  <si>
    <t>14HO07451</t>
  </si>
  <si>
    <t>SUPERSIRE X MAN-O-MAN X SHOTTLE</t>
  </si>
  <si>
    <t>7HO12556</t>
  </si>
  <si>
    <t>JACEY X MOGUL X BOWSER</t>
  </si>
  <si>
    <t>7HO12253</t>
  </si>
  <si>
    <t>SUPERSIRE X JEEVES X ALVES</t>
  </si>
  <si>
    <t>7HO12615</t>
  </si>
  <si>
    <t>MONTROSS X NUMERO UNO X PLANET</t>
  </si>
  <si>
    <t>7HO12884</t>
  </si>
  <si>
    <t>SPARK X DOORMAN X DORCY</t>
  </si>
  <si>
    <t>7HO13731</t>
  </si>
  <si>
    <t>JEDI X NUMERO UNO X SHAMROCK</t>
  </si>
  <si>
    <t>7HO11585</t>
  </si>
  <si>
    <t>ROBUST X PLANET X BOLTON</t>
  </si>
  <si>
    <t>250HO13553</t>
  </si>
  <si>
    <t>SILVER X JACEY X SNOWMAN</t>
  </si>
  <si>
    <t>14HO13896</t>
  </si>
  <si>
    <t>SUPERFLY X DAMARIS X MASSEY</t>
  </si>
  <si>
    <t>7HO13671</t>
  </si>
  <si>
    <t>MILLER-P X MONTROSS X O-COSMOPOLITAN</t>
  </si>
  <si>
    <t>14HO13973</t>
  </si>
  <si>
    <t>LOYOLA-P X POWERBALL-P X SUPERSIRE</t>
  </si>
  <si>
    <t>7HO12131</t>
  </si>
  <si>
    <t>MOGUL X DOMAIN X SHOTTLE</t>
  </si>
  <si>
    <t>250HO12961</t>
  </si>
  <si>
    <t>KINGBOY X MACK X SNOWMAN</t>
  </si>
  <si>
    <t>14HO07809</t>
  </si>
  <si>
    <t>SUPERSHOT X ALTAJACKMAN X BOOKEM</t>
  </si>
  <si>
    <t>7HO14026</t>
  </si>
  <si>
    <t>EXPRESSO X KINGBOY X MOGUL</t>
  </si>
  <si>
    <t>250HO01131</t>
  </si>
  <si>
    <t>MOGUL X PLANET X O MAN</t>
  </si>
  <si>
    <t>14HO07569</t>
  </si>
  <si>
    <t>SUPERSIRE X OBSERVER X BOLTON</t>
  </si>
  <si>
    <t>14HO07841</t>
  </si>
  <si>
    <t>SUPERSHOT X MAYFLOWER X JARVIS</t>
  </si>
  <si>
    <t>7HO13373</t>
  </si>
  <si>
    <t>ALTA1STCLASS X SUPERSIRE X BOOKEM</t>
  </si>
  <si>
    <t>7HO12345</t>
  </si>
  <si>
    <t>SUPERSIRE X OBSERVER X MOSCOW</t>
  </si>
  <si>
    <t>250HO13617</t>
  </si>
  <si>
    <t>JEDI X KINGBOY X NUMERO UNO</t>
  </si>
  <si>
    <t>7HO12848</t>
  </si>
  <si>
    <t>DESIRED X SYMPATICO *RC X SHOTTLE</t>
  </si>
  <si>
    <t>7HO13238</t>
  </si>
  <si>
    <t>PETY X DADDY X DORCY</t>
  </si>
  <si>
    <t>714HO00045</t>
  </si>
  <si>
    <t>KINGPIN X MOGUL X SUPER</t>
  </si>
  <si>
    <t>250HO01118</t>
  </si>
  <si>
    <t>14HO07880</t>
  </si>
  <si>
    <t>BRODIE X ALTAEMBASSY X ARMITAGE</t>
  </si>
  <si>
    <t>250HO12305</t>
  </si>
  <si>
    <t>MIXER X MAN-O-MAN X SHOTTLE</t>
  </si>
  <si>
    <t>250HO13124</t>
  </si>
  <si>
    <t>PLATINUM X MOGUL X SUPER</t>
  </si>
  <si>
    <t>14HO07787</t>
  </si>
  <si>
    <t>CRANK IT X SUPERSIRE X MAN-O-MAN</t>
  </si>
  <si>
    <t>14HO07724</t>
  </si>
  <si>
    <t>MAIN EVENT X SUPERSIRE X MASSEY</t>
  </si>
  <si>
    <t>14HO07465</t>
  </si>
  <si>
    <t>AIKMAN*RC X MAN-O-MAN X SEPTEMBER STORM</t>
  </si>
  <si>
    <t>7HO13710</t>
  </si>
  <si>
    <t>EXACTLY X ERASER P X SUPERSIRE</t>
  </si>
  <si>
    <t>7HO12344</t>
  </si>
  <si>
    <t>RELIEF P X OBSERVER X ADVENT-RED</t>
  </si>
  <si>
    <t>14HO07882</t>
  </si>
  <si>
    <t>GAME CHANGER X HALOGEN X BOOKEM</t>
  </si>
  <si>
    <t>14HO07782</t>
  </si>
  <si>
    <t>TROY X JEROD X ROBUST</t>
  </si>
  <si>
    <t>7HO13403</t>
  </si>
  <si>
    <t>SUPERSHOT X NUMERO UNO X SHAMROCK</t>
  </si>
  <si>
    <t>7HO12797</t>
  </si>
  <si>
    <t>DAMARIS X CAMERON X SUPER</t>
  </si>
  <si>
    <t>250HO13449</t>
  </si>
  <si>
    <t>PENLEY X LUCID X MAXUM</t>
  </si>
  <si>
    <t>250HO01043</t>
  </si>
  <si>
    <t>SNOWMAN X ALTABAXTER X GOLDWYN</t>
  </si>
  <si>
    <t>714HO00040</t>
  </si>
  <si>
    <t>MOGUL X JEEVES X GOLDWYN</t>
  </si>
  <si>
    <t>14HO07856</t>
  </si>
  <si>
    <t>BAYONET X CASHCOIN X ROBUST</t>
  </si>
  <si>
    <t>7HO12915</t>
  </si>
  <si>
    <t>PROFIT X ALTAOAK X SHAMROCK</t>
  </si>
  <si>
    <t>7HO12436</t>
  </si>
  <si>
    <t>SYMPATICO X COLT P-RED X MASSEY</t>
  </si>
  <si>
    <t>7HO13324</t>
  </si>
  <si>
    <t>KINGBOY X SUPERSIRE X BUCKEYE</t>
  </si>
  <si>
    <t>7HO12236</t>
  </si>
  <si>
    <t>DONATELLO X SHAMROCK X SHOTTLE</t>
  </si>
  <si>
    <t>7HO12027</t>
  </si>
  <si>
    <t>7HO12248</t>
  </si>
  <si>
    <t>7HO12723</t>
  </si>
  <si>
    <t>MONTROSS X STERLING X ALTAMETEOR</t>
  </si>
  <si>
    <t>7HO13447</t>
  </si>
  <si>
    <t>GUN X SUPERSIRE X BOOKEM</t>
  </si>
  <si>
    <t>7HO12920</t>
  </si>
  <si>
    <t>ENTITLE *RC X MOGUL X SUPER</t>
  </si>
  <si>
    <t>14HO07847</t>
  </si>
  <si>
    <t>DAMARIS X SUPERSIRE X TRUMP</t>
  </si>
  <si>
    <t>250HO12213</t>
  </si>
  <si>
    <t>7HO13755</t>
  </si>
  <si>
    <t>SPRING X JACEY X SHAMROCK</t>
  </si>
  <si>
    <t>14HO06429</t>
  </si>
  <si>
    <t>O MAN X ALTAAARON X ALTABELLWOOD</t>
  </si>
  <si>
    <t>7HO12982</t>
  </si>
  <si>
    <t>JAX P*RC X NUMERO UNO X O-STYLE</t>
  </si>
  <si>
    <t>14HO07789</t>
  </si>
  <si>
    <t>MONTEREY X EPIC X MAN-O-MAN</t>
  </si>
  <si>
    <t>14HO07573</t>
  </si>
  <si>
    <t>ALTAOAK X SHAMROCK X O MAN</t>
  </si>
  <si>
    <t>7HO13093</t>
  </si>
  <si>
    <t>STERLING X BOOKEM X O MAN</t>
  </si>
  <si>
    <t>7HO13257</t>
  </si>
  <si>
    <t>MCGIRT X NUMERO UNO X ROBUST</t>
  </si>
  <si>
    <t>7HO13551</t>
  </si>
  <si>
    <t>HEINZ X MONTROSS X SUPERSIRE</t>
  </si>
  <si>
    <t>7HO13022</t>
  </si>
  <si>
    <t>NUMERO UNO X COLBY X FBI</t>
  </si>
  <si>
    <t>14HO07709</t>
  </si>
  <si>
    <t>JABIR X MOGUL X SHOTTLE</t>
  </si>
  <si>
    <t>7HO12803</t>
  </si>
  <si>
    <t>SUPERSHOT X SHAN X BOOKEM</t>
  </si>
  <si>
    <t>7HO11617</t>
  </si>
  <si>
    <t>SNOWMAN X PLANET X SHOTTLE</t>
  </si>
  <si>
    <t>714HO00046</t>
  </si>
  <si>
    <t>SUPERSHOT X MCCUTCHEN X MAN-O-MAN</t>
  </si>
  <si>
    <t>714HO00039</t>
  </si>
  <si>
    <t>MOGUL X BEACON X ROUMARE</t>
  </si>
  <si>
    <t>14HO07767</t>
  </si>
  <si>
    <t>SUPERSHOT X MOGUL X MAN-O-MAN</t>
  </si>
  <si>
    <t>7HO13038</t>
  </si>
  <si>
    <t>14HO07686</t>
  </si>
  <si>
    <t>MARDI GRAS X SNOWMAN X SHOTTLE</t>
  </si>
  <si>
    <t>250HO13382</t>
  </si>
  <si>
    <t>ALTA1STCLASS X MOONRAY X BOOKEM</t>
  </si>
  <si>
    <t>7HO13921</t>
  </si>
  <si>
    <t>ALTACASUAL P X MOGUL X DOMAIN</t>
  </si>
  <si>
    <t>7HO12877</t>
  </si>
  <si>
    <t>ERASER P X MOGUL X IOTA</t>
  </si>
  <si>
    <t>14HO07806</t>
  </si>
  <si>
    <t>7HO08081</t>
  </si>
  <si>
    <t>TABOO X AMEL X DUSTER</t>
  </si>
  <si>
    <t>7HO13065</t>
  </si>
  <si>
    <t>MASSEY X SHAMROCK X SHOTTLE</t>
  </si>
  <si>
    <t>7HO12708</t>
  </si>
  <si>
    <t>WONKA X MOGUL X DOMAIN</t>
  </si>
  <si>
    <t>7HO12987</t>
  </si>
  <si>
    <t>FRANCHISE X SUPERSIRE X SHOTTLE</t>
  </si>
  <si>
    <t>14HO07778</t>
  </si>
  <si>
    <t>ALTASPRING X SUPERSIRE X SHOTTLE</t>
  </si>
  <si>
    <t>250HO13783</t>
  </si>
  <si>
    <t>7HO12313</t>
  </si>
  <si>
    <t>SUPERSIRE X MANOMAN X SHOTTLE</t>
  </si>
  <si>
    <t>7HO12317</t>
  </si>
  <si>
    <t>DAY X PLANET X ELEGANT</t>
  </si>
  <si>
    <t>14HO07368</t>
  </si>
  <si>
    <t>SUPERSIRE X PLANET X SHOTTLE</t>
  </si>
  <si>
    <t>7HO11928</t>
  </si>
  <si>
    <t>MAURICE X DORCY X TOYSTORY</t>
  </si>
  <si>
    <t>14HO07483</t>
  </si>
  <si>
    <t>MOGUL X HILL X ALTAALLEGRO</t>
  </si>
  <si>
    <t>7HO12616</t>
  </si>
  <si>
    <t>DEYJA X MOGUL X IOTA</t>
  </si>
  <si>
    <t>250HO12728</t>
  </si>
  <si>
    <t>KINGBOY X MOGUL X MAN-O-MAN</t>
  </si>
  <si>
    <t>14HO07849</t>
  </si>
  <si>
    <t>ALTAHOTROD X ST-LOUIS X MOGUL</t>
  </si>
  <si>
    <t>7HO13140</t>
  </si>
  <si>
    <t>CASHCOIN X MOGUL X SUPER</t>
  </si>
  <si>
    <t>250HO12301</t>
  </si>
  <si>
    <t>MCCUTCHEN X OBSERVER X BOLTON</t>
  </si>
  <si>
    <t>14HO05936</t>
  </si>
  <si>
    <t>BOLTON X BRET X RUDOLPH</t>
  </si>
  <si>
    <t>14HO07605</t>
  </si>
  <si>
    <t>SAVE*RC X ALCHEMY *RC X BOLTON</t>
  </si>
  <si>
    <t>14HO07863</t>
  </si>
  <si>
    <t>ALTACASUAL P X EARNHARDT P X COLT P-RED</t>
  </si>
  <si>
    <t>250HO12128</t>
  </si>
  <si>
    <t>MOGUL X DOMAIN X GOLDWYN</t>
  </si>
  <si>
    <t>7HO12716</t>
  </si>
  <si>
    <t>KINGBOY X MOGUL X IOTA</t>
  </si>
  <si>
    <t>7HO12726</t>
  </si>
  <si>
    <t>KINGBOY X GERARD X SHOTTLE</t>
  </si>
  <si>
    <t>14HO07728</t>
  </si>
  <si>
    <t>ALTACR X ALTASUPLEX X TRUMP</t>
  </si>
  <si>
    <t>7HO12844</t>
  </si>
  <si>
    <t>DRESSER X SYMPATICO *RC X GOLDWYN</t>
  </si>
  <si>
    <t>7HO12111</t>
  </si>
  <si>
    <t>EPIC X PLANET X ELEGANT</t>
  </si>
  <si>
    <t>7HO11757</t>
  </si>
  <si>
    <t>714HO00036</t>
  </si>
  <si>
    <t>MOGUL X MAN-O-MAN X RAMOS</t>
  </si>
  <si>
    <t>7HO13559</t>
  </si>
  <si>
    <t>HOTSHOT X RODGERS X NUMERO UNO</t>
  </si>
  <si>
    <t>7HO12183</t>
  </si>
  <si>
    <t>SUPERSIRE X DESTRY*RC X SHOTTLE</t>
  </si>
  <si>
    <t>14HO07673</t>
  </si>
  <si>
    <t>RACER X MOGUL X PLANET</t>
  </si>
  <si>
    <t>14HO07762</t>
  </si>
  <si>
    <t>ALTA1STCLASS X MOGUL X OBSERVER</t>
  </si>
  <si>
    <t>14HO07859</t>
  </si>
  <si>
    <t>7HO12390</t>
  </si>
  <si>
    <t>SHOTGLASS X BOOKEM X OMAN</t>
  </si>
  <si>
    <t>7HO13911</t>
  </si>
  <si>
    <t>BEEMER X MOGUL X GOLDWYN</t>
  </si>
  <si>
    <t>7HO13779</t>
  </si>
  <si>
    <t>HANG-TIME X DOORMAN X COLT P-RED</t>
  </si>
  <si>
    <t>7HO12229</t>
  </si>
  <si>
    <t>EARNHARDT P X OBSERVER X SHOTTLE</t>
  </si>
  <si>
    <t>7HO11984</t>
  </si>
  <si>
    <t>SUPERSIRE X SUPER X SHOTTLE</t>
  </si>
  <si>
    <t>7HO12024</t>
  </si>
  <si>
    <t>14HO07791</t>
  </si>
  <si>
    <t>SUPERSHOT X MCCUTCHEN X DOLCE</t>
  </si>
  <si>
    <t>250HO13372</t>
  </si>
  <si>
    <t>14HO07678</t>
  </si>
  <si>
    <t>MAIN EVENT X SHAMROCK X FREDDIE</t>
  </si>
  <si>
    <t>250HO13863</t>
  </si>
  <si>
    <t>BANDARES X 1STCLASS X SUPERSIRE</t>
  </si>
  <si>
    <t>250HO12746</t>
  </si>
  <si>
    <t>KINGBOY X NUMERO UNO X ROBUST</t>
  </si>
  <si>
    <t>7HO11573</t>
  </si>
  <si>
    <t>SNOWMAN X SHOTTLE X GOLDWYN</t>
  </si>
  <si>
    <t>14HO07858</t>
  </si>
  <si>
    <t>ENTAIL X SUPERSIRE X SHOTTLE</t>
  </si>
  <si>
    <t>7HO12601</t>
  </si>
  <si>
    <t>RODGERS X MOGUL X GOLDWYN</t>
  </si>
  <si>
    <t>14HO07649</t>
  </si>
  <si>
    <t>CAMARO X EPIC X MAN-O-MAN</t>
  </si>
  <si>
    <t>14HO07461</t>
  </si>
  <si>
    <t>MCCUTCHEN X ALTAIOTA X TOYSTORY</t>
  </si>
  <si>
    <t>7HO12929</t>
  </si>
  <si>
    <t>FOXSONG X JACEY X HILL</t>
  </si>
  <si>
    <t>7HO12139</t>
  </si>
  <si>
    <t>MOGUL X EXPLODE X MAC</t>
  </si>
  <si>
    <t>250HO01066</t>
  </si>
  <si>
    <t>EPIC X BOLTON X O MAN</t>
  </si>
  <si>
    <t>7HO12199</t>
  </si>
  <si>
    <t>MCCUTCHEN X FREDDIE X RAMOS</t>
  </si>
  <si>
    <t>7HO12184</t>
  </si>
  <si>
    <t>MCCUTCHEN X DORCY X GOLDWYN</t>
  </si>
  <si>
    <t>250HO12563</t>
  </si>
  <si>
    <t>JACEY X MOGUL X FREDDIE</t>
  </si>
  <si>
    <t>7HO13519</t>
  </si>
  <si>
    <t>PROFIT X MULTIPLY X SNOWMAN</t>
  </si>
  <si>
    <t>14HO07835</t>
  </si>
  <si>
    <t>JAX P*RC X MOGUL X DOMAIN</t>
  </si>
  <si>
    <t>7HO13939</t>
  </si>
  <si>
    <t>FRANCHISE X ALRIGHT X NUMERO UNO</t>
  </si>
  <si>
    <t>714HO00034</t>
  </si>
  <si>
    <t>EPIC X NIAGRA X TOYSTORY</t>
  </si>
  <si>
    <t>7HO11207</t>
  </si>
  <si>
    <t>BOXER X O MAN X MANAT</t>
  </si>
  <si>
    <t>14HO07761</t>
  </si>
  <si>
    <t>BOMBERO X RANSOM X ROBUST</t>
  </si>
  <si>
    <t>14HO07475</t>
  </si>
  <si>
    <t>7HO11983</t>
  </si>
  <si>
    <t>SUPERSIRE X SHAMROCK X SHOTTLE</t>
  </si>
  <si>
    <t>14HO07845</t>
  </si>
  <si>
    <t>PAT-RED X CASHCOIN X NUMERO UNO</t>
  </si>
  <si>
    <t>7HO11915</t>
  </si>
  <si>
    <t>MOGUL X ROBUST X RAMOS</t>
  </si>
  <si>
    <t>714HO00049</t>
  </si>
  <si>
    <t>PULSAR X ROBUST X ZENITH</t>
  </si>
  <si>
    <t>7HO12327</t>
  </si>
  <si>
    <t>MOGUL X ROBUST X SHOTTLE</t>
  </si>
  <si>
    <t>7HO12357</t>
  </si>
  <si>
    <t>PLATINUM X SHAMROCK X MASSEY</t>
  </si>
  <si>
    <t>14HO07691</t>
  </si>
  <si>
    <t>MAIN EVENT X MOGUL X RAMOS</t>
  </si>
  <si>
    <t>7HO12020</t>
  </si>
  <si>
    <t>EPIC X DOMAIN X PLANET</t>
  </si>
  <si>
    <t>14HO06678</t>
  </si>
  <si>
    <t>CHAMP X O MAN X MANAT</t>
  </si>
  <si>
    <t>7HO10848</t>
  </si>
  <si>
    <t>FREDDIE X GOLDWYN X DEBUT</t>
  </si>
  <si>
    <t>14HO07661</t>
  </si>
  <si>
    <t>SATISFACTION X NUMERO UNO X MANGO</t>
  </si>
  <si>
    <t>7HO12084</t>
  </si>
  <si>
    <t>MCCUTCHEN X MAN-O-MAN X RAMOS</t>
  </si>
  <si>
    <t>7HO10721</t>
  </si>
  <si>
    <t>PLANET X RAMOS X HERSHEL</t>
  </si>
  <si>
    <t>14HO07638</t>
  </si>
  <si>
    <t>JABIR X OBSERVER X BOLTON</t>
  </si>
  <si>
    <t>14HO07776</t>
  </si>
  <si>
    <t>MONTEREY X DEAN X OBSERVER</t>
  </si>
  <si>
    <t>7HO12322</t>
  </si>
  <si>
    <t>DONATELLO X GERARD X OFFROAD</t>
  </si>
  <si>
    <t>14HO07735</t>
  </si>
  <si>
    <t>MONTEREY X MOGUL X DOMAIN</t>
  </si>
  <si>
    <t>7HO12228</t>
  </si>
  <si>
    <t>MCCUTCHEN X OBSERVER X SHOTTLE</t>
  </si>
  <si>
    <t>714HO00033</t>
  </si>
  <si>
    <t>SUDAN X MAN-O-MAN X MARSH</t>
  </si>
  <si>
    <t>7HO13011</t>
  </si>
  <si>
    <t>NUMERO UNO X BOOKEM X SHOTTLE</t>
  </si>
  <si>
    <t>7HO13505</t>
  </si>
  <si>
    <t>HOMERUN-P X MAURICE X SHOTTLE</t>
  </si>
  <si>
    <t>14HO07660</t>
  </si>
  <si>
    <t>PEPPER X OBSERVER X SHOTTLE</t>
  </si>
  <si>
    <t>7HO13398</t>
  </si>
  <si>
    <t>SUPERSHOT X GALAXY X BOOKEM</t>
  </si>
  <si>
    <t>14HO07671</t>
  </si>
  <si>
    <t>MAIN EVENT X MOGUL X FREDDIE</t>
  </si>
  <si>
    <t>14HO07276</t>
  </si>
  <si>
    <t>EPIC X RUSSELL X BOLIVER</t>
  </si>
  <si>
    <t>14HO07748</t>
  </si>
  <si>
    <t>ALTA1STCLASS X DOORMAN X DORCY BY</t>
  </si>
  <si>
    <t>7HO12423</t>
  </si>
  <si>
    <t>PLATINUM X NUMERO UNO X MASSEY</t>
  </si>
  <si>
    <t>7HO12198</t>
  </si>
  <si>
    <t>MCCUTCHEN X SUPER X SHOTTLE</t>
  </si>
  <si>
    <t>14HO07223</t>
  </si>
  <si>
    <t>EPIC X SHOTTLE X DEBUT</t>
  </si>
  <si>
    <t>14HO07737</t>
  </si>
  <si>
    <t>7HO12569</t>
  </si>
  <si>
    <t>JABIR X MOONBOY X HERO</t>
  </si>
  <si>
    <t>7HO12874</t>
  </si>
  <si>
    <t>HOMERUN-P X RELIEF P X OBSERVER</t>
  </si>
  <si>
    <t>7HO12243</t>
  </si>
  <si>
    <t>SHAN X SUPER X SHOTTLE</t>
  </si>
  <si>
    <t>7HO12882</t>
  </si>
  <si>
    <t>PROFIT X HALOGEN X SUPERSIRE</t>
  </si>
  <si>
    <t>14HO07581</t>
  </si>
  <si>
    <t>JABIR X SHAMROCK X DIE-HARD</t>
  </si>
  <si>
    <t>14HO07381</t>
  </si>
  <si>
    <t>MOGUL X BOWSER X MAC</t>
  </si>
  <si>
    <t>7HO11767</t>
  </si>
  <si>
    <t>SOTO X GOLDWYN X BLITZ</t>
  </si>
  <si>
    <t>7HO11641</t>
  </si>
  <si>
    <t>MAXUM X SHOTTLE X O MAN</t>
  </si>
  <si>
    <t>14HO06823</t>
  </si>
  <si>
    <t>OBSERVER X RAMOS X TERRY</t>
  </si>
  <si>
    <t>7HO12302</t>
  </si>
  <si>
    <t>NUMERO UNO X PLANET X GOLDWYN</t>
  </si>
  <si>
    <t>250HO12879</t>
  </si>
  <si>
    <t>ALTA1STCLASS X MCCUTCHEN X SNOWMAN</t>
  </si>
  <si>
    <t>14HO07788</t>
  </si>
  <si>
    <t>SUPERSHOT X MOGUL X BOWSER</t>
  </si>
  <si>
    <t>7HO12626</t>
  </si>
  <si>
    <t>SYMPATICO *RC X LADD P-RED X MAN-O-MAN</t>
  </si>
  <si>
    <t>7HO12175</t>
  </si>
  <si>
    <t>MCCUTCHEN X BAXTER X SHOTTLE</t>
  </si>
  <si>
    <t>7HO11598</t>
  </si>
  <si>
    <t>ROBUST X RAMOS X SHOTTLE</t>
  </si>
  <si>
    <t>14HO07358</t>
  </si>
  <si>
    <t>MOGUL X FREDDIE X SHOTTLE</t>
  </si>
  <si>
    <t>714HO00019</t>
  </si>
  <si>
    <t>MAN-O-MAN X SHOTTLE X BRETT</t>
  </si>
  <si>
    <t>14HO07720</t>
  </si>
  <si>
    <t>GAMBLER X NUMERO UNO X MAN-O-MAN</t>
  </si>
  <si>
    <t>7HO12115</t>
  </si>
  <si>
    <t>MAYFIELD X DORCY X GOLDWYN</t>
  </si>
  <si>
    <t>7HO12873</t>
  </si>
  <si>
    <t>SUNFISH X MAGNA P*RC X ARMSTEAD</t>
  </si>
  <si>
    <t>7HO11893</t>
  </si>
  <si>
    <t>SHAMROCK X MAN-O-MAN X ELEGANT</t>
  </si>
  <si>
    <t>7HO10849</t>
  </si>
  <si>
    <t>PLANET X SHOTTLE X DEBUT</t>
  </si>
  <si>
    <t>14HO07303</t>
  </si>
  <si>
    <t>MOGUL X G W ATWOOD X ALTATHRONE</t>
  </si>
  <si>
    <t>14HO07707</t>
  </si>
  <si>
    <t>KINGBOY X NUMERO UNO X RUSSELL</t>
  </si>
  <si>
    <t>7HO11568</t>
  </si>
  <si>
    <t>SHAMROCK X GOLDWYN X O MAN</t>
  </si>
  <si>
    <t>14HO07409</t>
  </si>
  <si>
    <t>14HO07795</t>
  </si>
  <si>
    <t>ALL DAY*RC X ALTAIOTA X GOLDWYN</t>
  </si>
  <si>
    <t>14HO07539</t>
  </si>
  <si>
    <t>DOORMAN X SNOWMAN X SHOTTLE</t>
  </si>
  <si>
    <t>7HO13537</t>
  </si>
  <si>
    <t>SUTCLIFF X JACKMAN X MOGUL</t>
  </si>
  <si>
    <t>7HO11487</t>
  </si>
  <si>
    <t>7HO13521</t>
  </si>
  <si>
    <t>OCEAN PP X MONTROSS X SUPERSIRE</t>
  </si>
  <si>
    <t>14HO07667</t>
  </si>
  <si>
    <t>JABIR X MOGUL X RAMOS</t>
  </si>
  <si>
    <t>7HO12197</t>
  </si>
  <si>
    <t>MOGUL X SUPER X SHOTTLE</t>
  </si>
  <si>
    <t>14HO07765</t>
  </si>
  <si>
    <t>KINGBOY X EARNHARDT P X SNOWMAN</t>
  </si>
  <si>
    <t>14HO07263</t>
  </si>
  <si>
    <t>EPIC X GABOR X ADVENT-RED</t>
  </si>
  <si>
    <t>7HO12782</t>
  </si>
  <si>
    <t>DEYJA X MOGUL X SUPER</t>
  </si>
  <si>
    <t>714HO00038</t>
  </si>
  <si>
    <t>MASSEY X ALTAIOTA X PLANET</t>
  </si>
  <si>
    <t>7HO11964</t>
  </si>
  <si>
    <t>MCCUTCHEN X ROBUST X RAMOS</t>
  </si>
  <si>
    <t>7HO13749</t>
  </si>
  <si>
    <t>PIRANHA-P *RC X PLATINUM X GOLD CHIP</t>
  </si>
  <si>
    <t>14HO07652</t>
  </si>
  <si>
    <t>CAMARO X MOGUL X SUPER</t>
  </si>
  <si>
    <t>7HO12667</t>
  </si>
  <si>
    <t>OLYMPIAN *RC X SUPERSIRE X SUPER</t>
  </si>
  <si>
    <t>7HO12222</t>
  </si>
  <si>
    <t>MCCUTCHEN X EXPLODE X JUDD</t>
  </si>
  <si>
    <t>250HO01146</t>
  </si>
  <si>
    <t>NUMERO UNO X SNOWMAN X PLANET</t>
  </si>
  <si>
    <t>250HO01127</t>
  </si>
  <si>
    <t>7HO12409</t>
  </si>
  <si>
    <t>SYMPATICO *RC X ALEXANDER X SHOTTLE</t>
  </si>
  <si>
    <t>7HO12670</t>
  </si>
  <si>
    <t>ERASER P X PETRONE X MAGNA-P*RC</t>
  </si>
  <si>
    <t>14HO07298</t>
  </si>
  <si>
    <t>MAYFIELD X PLANET X TITANIC</t>
  </si>
  <si>
    <t>14HO07306</t>
  </si>
  <si>
    <t>GOLD CHIP X JEEVES X ZENITH</t>
  </si>
  <si>
    <t>714HO00042</t>
  </si>
  <si>
    <t>KRUNCH X GABOR X SHOTTLE</t>
  </si>
  <si>
    <t>7HO10606</t>
  </si>
  <si>
    <t>PLANET X O MAN X BW MARSHALL</t>
  </si>
  <si>
    <t>714HO10002</t>
  </si>
  <si>
    <t>BOLTON X GOLDWYN X BLITZ</t>
  </si>
  <si>
    <t>14HO07425</t>
  </si>
  <si>
    <t>RELIEF P X BEACON X OTTAWA-P*RC</t>
  </si>
  <si>
    <t>7HO12206</t>
  </si>
  <si>
    <t>EPIC X BOOKEM X SHOTTLE</t>
  </si>
  <si>
    <t>7HO11777</t>
  </si>
  <si>
    <t>SNOWMAN X OUTSIDE X RUDOLPH</t>
  </si>
  <si>
    <t>7HO12203</t>
  </si>
  <si>
    <t>MCCUTCHEN X DORCY X TOYSTORY</t>
  </si>
  <si>
    <t>250HO12786</t>
  </si>
  <si>
    <t>KINGBOY X NUMERO UNO X PLANET</t>
  </si>
  <si>
    <t>250HO01109</t>
  </si>
  <si>
    <t>EPIC X FREDDIE X LUCKY STAR</t>
  </si>
  <si>
    <t>14HO07313</t>
  </si>
  <si>
    <t>7HO11703</t>
  </si>
  <si>
    <t>GOLDWYN X REGIMENT-RED X DURHAM</t>
  </si>
  <si>
    <t>7HO11741</t>
  </si>
  <si>
    <t>SHAMROCK X RAMOS X SHOTTLE</t>
  </si>
  <si>
    <t>714HO00025</t>
  </si>
  <si>
    <t>MAN-O-MAN X SHOTTLE X BOSS IRON</t>
  </si>
  <si>
    <t>7HO11169</t>
  </si>
  <si>
    <t>SUPER X ALTABAXTER X BUCKEYE</t>
  </si>
  <si>
    <t>250HO01039</t>
  </si>
  <si>
    <t>7HO12769</t>
  </si>
  <si>
    <t>KINGBOY X KRUNCH X DORCY</t>
  </si>
  <si>
    <t>14HO07288</t>
  </si>
  <si>
    <t>EPIC X OBSERVER X GOLDWYN</t>
  </si>
  <si>
    <t>7HO13778</t>
  </si>
  <si>
    <t>HIGH OCTANE X MOGUL X SHOTTLE</t>
  </si>
  <si>
    <t>7HO11488</t>
  </si>
  <si>
    <t>OBSERVER X RAMOS X SHOTTLE</t>
  </si>
  <si>
    <t>7HO11926</t>
  </si>
  <si>
    <t>MOGUL X MAN-O-MAN X DURHAM</t>
  </si>
  <si>
    <t>14HO07270</t>
  </si>
  <si>
    <t>O-STYLE X SHOTTLE X FORBIDDEN</t>
  </si>
  <si>
    <t>250HO01002</t>
  </si>
  <si>
    <t>SUPER X ALTABAXTER X SHOTTLE</t>
  </si>
  <si>
    <t>250HO12781</t>
  </si>
  <si>
    <t>KINGBOY X NUMERO UNO X JET STREAM</t>
  </si>
  <si>
    <t>14HO07802</t>
  </si>
  <si>
    <t>HIGH OCTANE X DESTRY RC X TALENT RC</t>
  </si>
  <si>
    <t>14HO07345</t>
  </si>
  <si>
    <t>SHOWDOWN *RC X CAMARY ISY X SHOTTLE</t>
  </si>
  <si>
    <t>7HO12773</t>
  </si>
  <si>
    <t>KINGBOY X G W ATWOOD X RAMOS</t>
  </si>
  <si>
    <t>14HO07229</t>
  </si>
  <si>
    <t>NUMERO UNO X G W ATWOOD X SHOTTLE</t>
  </si>
  <si>
    <t>714HO00041</t>
  </si>
  <si>
    <t>ROCKY X ALTAMETEOR X O MAN</t>
  </si>
  <si>
    <t>14HO07683</t>
  </si>
  <si>
    <t>HALOGEN X SUPERSIRE X SHOTTLE</t>
  </si>
  <si>
    <t>7HO13912</t>
  </si>
  <si>
    <t>BOSA X OLYMPIAN *RC X GILBY</t>
  </si>
  <si>
    <t>7HO11118</t>
  </si>
  <si>
    <t>G W ATWOOD X MAC X DURHAM</t>
  </si>
  <si>
    <t>7HO13730</t>
  </si>
  <si>
    <t>SOLOMON X G W ATWOOD X SHOTTLE</t>
  </si>
  <si>
    <t>714HO10006</t>
  </si>
  <si>
    <t>PLANET X SHOTTLE X STORM</t>
  </si>
  <si>
    <t>14HO05434</t>
  </si>
  <si>
    <t>SHOTTLE X BW MARSHALL X PATRON</t>
  </si>
  <si>
    <t>7HO10506</t>
  </si>
  <si>
    <t>GOLDWYN X DURHAM X STORM</t>
  </si>
  <si>
    <t>7HO12353</t>
  </si>
  <si>
    <t>MCCUTCHEN X GOLDWYN X SHOTTLE</t>
  </si>
  <si>
    <t>7HO13214</t>
  </si>
  <si>
    <t>OHARE-P X LADD P-RED X MAN-O-MAN</t>
  </si>
  <si>
    <t>7HO12126</t>
  </si>
  <si>
    <t>PETRONE X PRONTO X GOLDWYN</t>
  </si>
  <si>
    <t>714HO00021</t>
  </si>
  <si>
    <t>SUPERSTITION X SHOTTLE X BRETT</t>
  </si>
  <si>
    <t>250HO12475</t>
  </si>
  <si>
    <t>HALOGEN X SHAMROCK X MANOMAN</t>
  </si>
  <si>
    <t>7HO11497</t>
  </si>
  <si>
    <t>DURABLE X SHOTTLE X GOLDWYN</t>
  </si>
  <si>
    <t>7HO09264</t>
  </si>
  <si>
    <t>GOLDWYN X DERRY X MTOTO</t>
  </si>
  <si>
    <t>714HO00035</t>
  </si>
  <si>
    <t>SHAMROCK X FREDDIE X LUCKY STAR</t>
  </si>
  <si>
    <t>7HO10563</t>
  </si>
  <si>
    <t>LAWN BOY P-RED X GOLDWYN X SEPTEMBER STORM</t>
  </si>
  <si>
    <t>7HO12395</t>
  </si>
  <si>
    <t>MERIDIAN X CLARK *B/R X MICHAEL</t>
  </si>
  <si>
    <t>7HO13839</t>
  </si>
  <si>
    <t>CRUSH X GOLD CHIP X DURHAM</t>
  </si>
  <si>
    <t>250HO12805</t>
  </si>
  <si>
    <t>ALTA1STCLASS X MAYFIELD X G W ATWOOD</t>
  </si>
  <si>
    <t>714HO00027</t>
  </si>
  <si>
    <t>SUPER X SHOTTLE X BOSS IRON</t>
  </si>
  <si>
    <t>7HO12587</t>
  </si>
  <si>
    <t>DOORMAN X TALENT X REGIMENT-RED</t>
  </si>
  <si>
    <t>714HO10003</t>
  </si>
  <si>
    <t>COLBY X SHOTTLE X BW MARSHALL</t>
  </si>
  <si>
    <t>7HO12042</t>
  </si>
  <si>
    <t>GOLD CHIP X DAMION X SHOTTLE</t>
  </si>
  <si>
    <t>14HO07898</t>
  </si>
  <si>
    <t>DOORMAN X NUMERO UNO X TALENT RC</t>
  </si>
  <si>
    <t>250HO12589</t>
  </si>
  <si>
    <t>DOORMAN X GOLD CHIP X LION KING</t>
  </si>
  <si>
    <t>714HO00032</t>
  </si>
  <si>
    <t>COLT P-RED X MAN-O-MAN X GOLDWYN</t>
  </si>
  <si>
    <t>7HO12921</t>
  </si>
  <si>
    <t>DOORMAN X G W ATWOOD X SEAVER</t>
  </si>
  <si>
    <t>714HO00024</t>
  </si>
  <si>
    <t>PLANET X SHOTTLE X BOSS IRON</t>
  </si>
  <si>
    <t>14HO06809</t>
  </si>
  <si>
    <t>G W ATWOOD X SHOTTLE X MORTY</t>
  </si>
  <si>
    <t>7HO13777</t>
  </si>
  <si>
    <t>BACKDOOR X HERO X SANCHEZ</t>
  </si>
  <si>
    <t>7HO12922</t>
  </si>
  <si>
    <t>DEFIANT X G W ATWOOD X MAC</t>
  </si>
  <si>
    <t>7HO10999</t>
  </si>
  <si>
    <t>SANCHEZ X SHOTTLE X DURHAM</t>
  </si>
  <si>
    <t>7HO10920</t>
  </si>
  <si>
    <t>GOLDWYN X SHOTTLE X CHAMPION</t>
  </si>
  <si>
    <t>7HO11596</t>
  </si>
  <si>
    <t>BRAXTON X GOLDWYN X DURHAM</t>
  </si>
  <si>
    <t>Buhaje World Wide Sires uszeregowane pod wzgleględem indeksu wykorzystania paszy</t>
  </si>
  <si>
    <t>NAZWA BUHAJA</t>
  </si>
  <si>
    <t>NR</t>
  </si>
  <si>
    <t>RODOWÓD</t>
  </si>
  <si>
    <t>Indeks TPI</t>
  </si>
  <si>
    <t>Mleko (Ibs)</t>
  </si>
  <si>
    <t>Tłuszcz  (Ibs)</t>
  </si>
  <si>
    <t>Tłuszcz (%)</t>
  </si>
  <si>
    <t>Białko (Ibs)</t>
  </si>
  <si>
    <t>Białko (%)</t>
  </si>
  <si>
    <t>Łatwość wycieleń</t>
  </si>
  <si>
    <t>Komórki somatyczne</t>
  </si>
  <si>
    <t>Płodność córek</t>
  </si>
  <si>
    <t>Długowieczność</t>
  </si>
  <si>
    <t>Pokrój</t>
  </si>
  <si>
    <t>Wymię</t>
  </si>
  <si>
    <t xml:space="preserve">Indeks płodności </t>
  </si>
  <si>
    <t>Indeks                                                                    wykorzystania paszy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</si>
</sst>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0">
    <font>
      <sz val="10"/>
      <name val="Arial"/>
      <family val="0"/>
    </font>
    <font>
      <u val="single"/>
      <sz val="10"/>
      <color indexed="1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b/>
      <sz val="11"/>
      <color indexed="18"/>
      <name val="Calibri"/>
      <family val="2"/>
    </font>
    <font>
      <b/>
      <sz val="10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002060"/>
      <name val="Arial"/>
      <family val="2"/>
    </font>
    <font>
      <sz val="10"/>
      <color rgb="FF002060"/>
      <name val="Arial"/>
      <family val="2"/>
    </font>
    <font>
      <b/>
      <sz val="9"/>
      <color rgb="FF002060"/>
      <name val="Arial"/>
      <family val="2"/>
    </font>
    <font>
      <b/>
      <sz val="11"/>
      <color theme="4" tint="-0.4999699890613556"/>
      <name val="Calibri"/>
      <family val="2"/>
    </font>
    <font>
      <b/>
      <sz val="10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Fill="1" applyBorder="1" applyAlignment="1" applyProtection="1">
      <alignment horizontal="center" textRotation="90" wrapText="1"/>
      <protection/>
    </xf>
    <xf numFmtId="2" fontId="48" fillId="0" borderId="10" xfId="0" applyNumberFormat="1" applyFont="1" applyFill="1" applyBorder="1" applyAlignment="1" applyProtection="1">
      <alignment horizontal="center" textRotation="90" wrapText="1"/>
      <protection/>
    </xf>
    <xf numFmtId="172" fontId="48" fillId="0" borderId="10" xfId="0" applyNumberFormat="1" applyFont="1" applyFill="1" applyBorder="1" applyAlignment="1" applyProtection="1">
      <alignment horizontal="center" textRotation="90" wrapText="1"/>
      <protection/>
    </xf>
    <xf numFmtId="172" fontId="48" fillId="33" borderId="10" xfId="0" applyNumberFormat="1" applyFont="1" applyFill="1" applyBorder="1" applyAlignment="1" applyProtection="1">
      <alignment horizontal="center" textRotation="90" wrapText="1"/>
      <protection/>
    </xf>
    <xf numFmtId="2" fontId="0" fillId="0" borderId="0" xfId="0" applyNumberFormat="1" applyAlignment="1">
      <alignment/>
    </xf>
    <xf numFmtId="2" fontId="46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46" fillId="0" borderId="0" xfId="0" applyNumberFormat="1" applyFont="1" applyAlignment="1">
      <alignment/>
    </xf>
    <xf numFmtId="0" fontId="49" fillId="0" borderId="10" xfId="52" applyFont="1" applyBorder="1">
      <alignment/>
      <protection/>
    </xf>
    <xf numFmtId="0" fontId="49" fillId="0" borderId="10" xfId="0" applyFont="1" applyFill="1" applyBorder="1" applyAlignment="1">
      <alignment/>
    </xf>
    <xf numFmtId="0" fontId="49" fillId="0" borderId="10" xfId="0" applyFont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172" fontId="49" fillId="0" borderId="10" xfId="0" applyNumberFormat="1" applyFon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210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83"/>
  <sheetViews>
    <sheetView tabSelected="1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14" sqref="U14"/>
    </sheetView>
  </sheetViews>
  <sheetFormatPr defaultColWidth="9.140625" defaultRowHeight="12.75"/>
  <cols>
    <col min="1" max="1" width="17.7109375" style="0" customWidth="1"/>
    <col min="2" max="2" width="15.7109375" style="0" customWidth="1"/>
    <col min="3" max="3" width="44.7109375" style="0" customWidth="1"/>
    <col min="4" max="4" width="4.8515625" style="0" bestFit="1" customWidth="1"/>
    <col min="5" max="5" width="5.8515625" style="0" bestFit="1" customWidth="1"/>
    <col min="6" max="6" width="5.421875" style="0" bestFit="1" customWidth="1"/>
    <col min="7" max="7" width="7.00390625" style="261" bestFit="1" customWidth="1"/>
    <col min="8" max="8" width="5.57421875" style="0" bestFit="1" customWidth="1"/>
    <col min="9" max="9" width="7.140625" style="261" bestFit="1" customWidth="1"/>
    <col min="10" max="10" width="5.57421875" style="261" bestFit="1" customWidth="1"/>
    <col min="11" max="11" width="5.421875" style="261" bestFit="1" customWidth="1"/>
    <col min="12" max="12" width="4.8515625" style="263" bestFit="1" customWidth="1"/>
    <col min="13" max="13" width="5.8515625" style="0" customWidth="1"/>
    <col min="14" max="14" width="4.8515625" style="261" bestFit="1" customWidth="1"/>
    <col min="15" max="15" width="4.421875" style="263" bestFit="1" customWidth="1"/>
    <col min="16" max="16" width="4.57421875" style="263" bestFit="1" customWidth="1"/>
    <col min="17" max="17" width="4.8515625" style="263" bestFit="1" customWidth="1"/>
  </cols>
  <sheetData>
    <row r="2" spans="1:5" ht="12.75">
      <c r="A2" s="271"/>
      <c r="B2" s="271"/>
      <c r="C2" s="271"/>
      <c r="D2" s="271"/>
      <c r="E2" s="271"/>
    </row>
    <row r="3" spans="1:5" ht="12.75">
      <c r="A3" s="271"/>
      <c r="B3" s="271"/>
      <c r="C3" s="271"/>
      <c r="D3" s="271"/>
      <c r="E3" s="271"/>
    </row>
    <row r="4" spans="1:5" ht="12.75">
      <c r="A4" s="271"/>
      <c r="B4" s="271"/>
      <c r="C4" s="271"/>
      <c r="D4" s="271"/>
      <c r="E4" s="271"/>
    </row>
    <row r="5" spans="1:5" ht="29.25" customHeight="1">
      <c r="A5" s="271"/>
      <c r="B5" s="271"/>
      <c r="C5" s="271"/>
      <c r="D5" s="271"/>
      <c r="E5" s="271"/>
    </row>
    <row r="6" spans="1:21" ht="20.25" customHeight="1">
      <c r="A6" s="253" t="s">
        <v>1106</v>
      </c>
      <c r="B6" s="256"/>
      <c r="C6" s="254"/>
      <c r="D6" s="254"/>
      <c r="E6" s="254"/>
      <c r="F6" s="254"/>
      <c r="G6" s="262"/>
      <c r="H6" s="254"/>
      <c r="I6" s="262"/>
      <c r="J6" s="262"/>
      <c r="K6" s="262"/>
      <c r="L6" s="264"/>
      <c r="M6" s="254"/>
      <c r="N6" s="262"/>
      <c r="O6" s="264"/>
      <c r="P6" s="264"/>
      <c r="Q6" s="264"/>
      <c r="R6" s="254"/>
      <c r="S6" s="254"/>
      <c r="T6" s="254"/>
      <c r="U6" s="254"/>
    </row>
    <row r="7" spans="1:21" ht="12" customHeight="1">
      <c r="A7" s="253"/>
      <c r="B7" s="256"/>
      <c r="C7" s="254"/>
      <c r="D7" s="254"/>
      <c r="E7" s="254"/>
      <c r="F7" s="254"/>
      <c r="G7" s="262"/>
      <c r="H7" s="254"/>
      <c r="I7" s="262"/>
      <c r="J7" s="262"/>
      <c r="K7" s="262"/>
      <c r="L7" s="264"/>
      <c r="M7" s="254"/>
      <c r="N7" s="262"/>
      <c r="O7" s="264"/>
      <c r="P7" s="264"/>
      <c r="Q7" s="264"/>
      <c r="R7" s="254"/>
      <c r="S7" s="254"/>
      <c r="T7" s="254"/>
      <c r="U7" s="254"/>
    </row>
    <row r="8" spans="1:17" ht="12.75">
      <c r="A8" s="265" t="s">
        <v>0</v>
      </c>
      <c r="B8" s="265" t="s">
        <v>1</v>
      </c>
      <c r="C8" s="265" t="s">
        <v>2</v>
      </c>
      <c r="D8" s="267" t="s">
        <v>3</v>
      </c>
      <c r="E8" s="267" t="s">
        <v>4</v>
      </c>
      <c r="F8" s="267" t="s">
        <v>5</v>
      </c>
      <c r="G8" s="268" t="s">
        <v>6</v>
      </c>
      <c r="H8" s="267" t="s">
        <v>7</v>
      </c>
      <c r="I8" s="268" t="s">
        <v>8</v>
      </c>
      <c r="J8" s="268" t="s">
        <v>9</v>
      </c>
      <c r="K8" s="268" t="s">
        <v>10</v>
      </c>
      <c r="L8" s="269" t="s">
        <v>11</v>
      </c>
      <c r="M8" s="270" t="s">
        <v>12</v>
      </c>
      <c r="N8" s="268" t="s">
        <v>13</v>
      </c>
      <c r="O8" s="269" t="s">
        <v>14</v>
      </c>
      <c r="P8" s="269" t="s">
        <v>15</v>
      </c>
      <c r="Q8" s="269" t="s">
        <v>16</v>
      </c>
    </row>
    <row r="9" spans="1:19" ht="107.25" customHeight="1">
      <c r="A9" s="266" t="s">
        <v>1107</v>
      </c>
      <c r="B9" s="266" t="s">
        <v>1108</v>
      </c>
      <c r="C9" s="266" t="s">
        <v>1109</v>
      </c>
      <c r="D9" s="257" t="s">
        <v>1110</v>
      </c>
      <c r="E9" s="257" t="s">
        <v>1111</v>
      </c>
      <c r="F9" s="257" t="s">
        <v>1112</v>
      </c>
      <c r="G9" s="258" t="s">
        <v>1113</v>
      </c>
      <c r="H9" s="257" t="s">
        <v>1114</v>
      </c>
      <c r="I9" s="258" t="s">
        <v>1115</v>
      </c>
      <c r="J9" s="258" t="s">
        <v>1120</v>
      </c>
      <c r="K9" s="258" t="s">
        <v>1121</v>
      </c>
      <c r="L9" s="259" t="s">
        <v>1119</v>
      </c>
      <c r="M9" s="260" t="s">
        <v>1123</v>
      </c>
      <c r="N9" s="258" t="s">
        <v>1117</v>
      </c>
      <c r="O9" s="259" t="s">
        <v>1122</v>
      </c>
      <c r="P9" s="259" t="s">
        <v>1118</v>
      </c>
      <c r="Q9" s="259" t="s">
        <v>1116</v>
      </c>
      <c r="S9" s="255"/>
    </row>
    <row r="10" spans="1:17" ht="12.75">
      <c r="A10" s="1" t="str">
        <f>HYPERLINK("http://ct.wwsires.com/bull/250HO13267","DUKE")</f>
        <v>DUKE</v>
      </c>
      <c r="B10" t="s">
        <v>17</v>
      </c>
      <c r="C10" t="s">
        <v>18</v>
      </c>
      <c r="D10">
        <v>2771</v>
      </c>
      <c r="E10">
        <v>2645</v>
      </c>
      <c r="F10">
        <v>112</v>
      </c>
      <c r="G10" s="261">
        <v>0.05</v>
      </c>
      <c r="H10">
        <v>85</v>
      </c>
      <c r="I10" s="261">
        <v>0.02</v>
      </c>
      <c r="J10" s="261">
        <v>2.05</v>
      </c>
      <c r="K10" s="261">
        <v>1.78</v>
      </c>
      <c r="L10" s="263">
        <v>5.2</v>
      </c>
      <c r="M10" s="252">
        <v>253</v>
      </c>
      <c r="N10" s="261">
        <v>2.93</v>
      </c>
      <c r="O10" s="263">
        <v>0.5</v>
      </c>
      <c r="P10" s="263">
        <v>0.4</v>
      </c>
      <c r="Q10" s="263">
        <v>11</v>
      </c>
    </row>
    <row r="11" spans="1:17" ht="12.75">
      <c r="A11" s="2" t="str">
        <f>HYPERLINK("http://ct.wwsires.com/bull/14HO13758","DALLAS")</f>
        <v>DALLAS</v>
      </c>
      <c r="B11" t="s">
        <v>19</v>
      </c>
      <c r="C11" t="s">
        <v>20</v>
      </c>
      <c r="D11">
        <v>2801</v>
      </c>
      <c r="E11">
        <v>1738</v>
      </c>
      <c r="F11">
        <v>100</v>
      </c>
      <c r="G11" s="261">
        <v>0.13</v>
      </c>
      <c r="H11">
        <v>69</v>
      </c>
      <c r="I11" s="261">
        <v>0.06</v>
      </c>
      <c r="J11" s="261">
        <v>1.87</v>
      </c>
      <c r="K11" s="261">
        <v>1.9</v>
      </c>
      <c r="L11" s="263">
        <v>6.9</v>
      </c>
      <c r="M11" s="252">
        <v>247</v>
      </c>
      <c r="N11" s="261">
        <v>2.95</v>
      </c>
      <c r="O11" s="263">
        <v>2</v>
      </c>
      <c r="P11" s="263">
        <v>2.2</v>
      </c>
      <c r="Q11" s="263">
        <v>7.3</v>
      </c>
    </row>
    <row r="12" spans="1:17" ht="12.75">
      <c r="A12" s="3" t="str">
        <f>HYPERLINK("http://ct.wwsires.com/bull/14HO07703","JEP")</f>
        <v>JEP</v>
      </c>
      <c r="B12" t="s">
        <v>21</v>
      </c>
      <c r="C12" t="s">
        <v>22</v>
      </c>
      <c r="D12">
        <v>2583</v>
      </c>
      <c r="E12">
        <v>2740</v>
      </c>
      <c r="F12">
        <v>101</v>
      </c>
      <c r="G12" s="261">
        <v>0</v>
      </c>
      <c r="H12">
        <v>77</v>
      </c>
      <c r="I12" s="261">
        <v>-0.02</v>
      </c>
      <c r="J12" s="261">
        <v>1.32</v>
      </c>
      <c r="K12" s="261">
        <v>1.51</v>
      </c>
      <c r="L12" s="263">
        <v>3.8</v>
      </c>
      <c r="M12" s="252">
        <v>244</v>
      </c>
      <c r="N12" s="261">
        <v>3.14</v>
      </c>
      <c r="O12" s="263">
        <v>0</v>
      </c>
      <c r="P12" s="263">
        <v>0.2</v>
      </c>
      <c r="Q12" s="263">
        <v>6.7</v>
      </c>
    </row>
    <row r="13" spans="1:17" ht="12.75">
      <c r="A13" s="4" t="str">
        <f>HYPERLINK("http://ct.wwsires.com/bull/7HO12255","PETERPAN")</f>
        <v>PETERPAN</v>
      </c>
      <c r="B13" t="s">
        <v>23</v>
      </c>
      <c r="C13" t="s">
        <v>24</v>
      </c>
      <c r="D13">
        <v>2505</v>
      </c>
      <c r="E13">
        <v>2346</v>
      </c>
      <c r="F13">
        <v>112</v>
      </c>
      <c r="G13" s="261">
        <v>0.08</v>
      </c>
      <c r="H13">
        <v>76</v>
      </c>
      <c r="I13" s="261">
        <v>0.02</v>
      </c>
      <c r="J13" s="261">
        <v>1.25</v>
      </c>
      <c r="K13" s="261">
        <v>-0.05</v>
      </c>
      <c r="L13" s="263">
        <v>2.7</v>
      </c>
      <c r="M13" s="252">
        <v>241</v>
      </c>
      <c r="N13" s="261">
        <v>3.07</v>
      </c>
      <c r="O13" s="263">
        <v>-0.9</v>
      </c>
      <c r="P13" s="263">
        <v>-1.2</v>
      </c>
      <c r="Q13" s="263">
        <v>5.9</v>
      </c>
    </row>
    <row r="14" spans="1:17" ht="12.75">
      <c r="A14" s="5" t="str">
        <f>HYPERLINK("http://ct.wwsires.com/bull/7HO13979","LIVEWIRE")</f>
        <v>LIVEWIRE</v>
      </c>
      <c r="B14" t="s">
        <v>25</v>
      </c>
      <c r="C14" t="s">
        <v>26</v>
      </c>
      <c r="D14">
        <v>2796</v>
      </c>
      <c r="E14">
        <v>1468</v>
      </c>
      <c r="F14">
        <v>107</v>
      </c>
      <c r="G14" s="261">
        <v>0.19</v>
      </c>
      <c r="H14">
        <v>63</v>
      </c>
      <c r="I14" s="261">
        <v>0.07</v>
      </c>
      <c r="J14" s="261">
        <v>2.07</v>
      </c>
      <c r="K14" s="261">
        <v>2.14</v>
      </c>
      <c r="L14" s="263">
        <v>6.8</v>
      </c>
      <c r="M14" s="252">
        <v>240</v>
      </c>
      <c r="N14" s="261">
        <v>2.82</v>
      </c>
      <c r="O14" s="263">
        <v>1.4</v>
      </c>
      <c r="P14" s="263">
        <v>0.9</v>
      </c>
      <c r="Q14" s="263">
        <v>7.3</v>
      </c>
    </row>
    <row r="15" spans="1:17" ht="12.75">
      <c r="A15" s="6" t="str">
        <f>HYPERLINK("http://ct.wwsires.com/bull/7HO13504","JAGUAR")</f>
        <v>JAGUAR</v>
      </c>
      <c r="B15" t="s">
        <v>27</v>
      </c>
      <c r="C15" t="s">
        <v>28</v>
      </c>
      <c r="D15">
        <v>2764</v>
      </c>
      <c r="E15">
        <v>1880</v>
      </c>
      <c r="F15">
        <v>109</v>
      </c>
      <c r="G15" s="261">
        <v>0.14</v>
      </c>
      <c r="H15">
        <v>75</v>
      </c>
      <c r="I15" s="261">
        <v>0.06</v>
      </c>
      <c r="J15" s="261">
        <v>1.65</v>
      </c>
      <c r="K15" s="261">
        <v>1.6099999999999999</v>
      </c>
      <c r="L15" s="263">
        <v>6.1</v>
      </c>
      <c r="M15" s="252">
        <v>239</v>
      </c>
      <c r="N15" s="261">
        <v>2.85</v>
      </c>
      <c r="O15" s="263">
        <v>0.8</v>
      </c>
      <c r="P15" s="263">
        <v>0.6</v>
      </c>
      <c r="Q15" s="263">
        <v>7.4</v>
      </c>
    </row>
    <row r="16" spans="1:17" ht="12.75">
      <c r="A16" s="7" t="str">
        <f>HYPERLINK("http://ct.wwsires.com/bull/7HO12943","CURRY")</f>
        <v>CURRY</v>
      </c>
      <c r="B16" t="s">
        <v>29</v>
      </c>
      <c r="C16" t="s">
        <v>30</v>
      </c>
      <c r="D16">
        <v>2768</v>
      </c>
      <c r="E16">
        <v>2051</v>
      </c>
      <c r="F16">
        <v>102</v>
      </c>
      <c r="G16" s="261">
        <v>0.09</v>
      </c>
      <c r="H16">
        <v>80</v>
      </c>
      <c r="I16" s="261">
        <v>0.07</v>
      </c>
      <c r="J16" s="261">
        <v>1.2</v>
      </c>
      <c r="K16" s="261">
        <v>0.65</v>
      </c>
      <c r="L16" s="263">
        <v>7.7</v>
      </c>
      <c r="M16" s="252">
        <v>239</v>
      </c>
      <c r="N16" s="261">
        <v>2.91</v>
      </c>
      <c r="O16" s="263">
        <v>2.9</v>
      </c>
      <c r="P16" s="263">
        <v>3</v>
      </c>
      <c r="Q16" s="263">
        <v>7.6</v>
      </c>
    </row>
    <row r="17" spans="1:17" ht="12.75">
      <c r="A17" s="8" t="str">
        <f>HYPERLINK("http://ct.wwsires.com/bull/7HO13917","HAGAR")</f>
        <v>HAGAR</v>
      </c>
      <c r="B17" t="s">
        <v>31</v>
      </c>
      <c r="C17" t="s">
        <v>32</v>
      </c>
      <c r="D17">
        <v>2772</v>
      </c>
      <c r="E17">
        <v>1453</v>
      </c>
      <c r="F17">
        <v>99</v>
      </c>
      <c r="G17" s="261">
        <v>0.17</v>
      </c>
      <c r="H17">
        <v>66</v>
      </c>
      <c r="I17" s="261">
        <v>0.08</v>
      </c>
      <c r="J17" s="261">
        <v>1.85</v>
      </c>
      <c r="K17" s="261">
        <v>1.5</v>
      </c>
      <c r="L17" s="263">
        <v>5.6</v>
      </c>
      <c r="M17" s="252">
        <v>235</v>
      </c>
      <c r="N17" s="261">
        <v>2.84</v>
      </c>
      <c r="O17" s="263">
        <v>3.5</v>
      </c>
      <c r="P17" s="263">
        <v>3</v>
      </c>
      <c r="Q17" s="263">
        <v>5.6</v>
      </c>
    </row>
    <row r="18" spans="1:17" ht="12.75">
      <c r="A18" s="9" t="str">
        <f>HYPERLINK("http://ct.wwsires.com/bull/7HO12952","HANS")</f>
        <v>HANS</v>
      </c>
      <c r="B18" t="s">
        <v>33</v>
      </c>
      <c r="C18" t="s">
        <v>34</v>
      </c>
      <c r="D18">
        <v>2763</v>
      </c>
      <c r="E18">
        <v>1884</v>
      </c>
      <c r="F18">
        <v>98</v>
      </c>
      <c r="G18" s="261">
        <v>0.1</v>
      </c>
      <c r="H18">
        <v>71</v>
      </c>
      <c r="I18" s="261">
        <v>0.05</v>
      </c>
      <c r="J18" s="261">
        <v>1.96</v>
      </c>
      <c r="K18" s="261">
        <v>1.38</v>
      </c>
      <c r="L18" s="263">
        <v>5.9</v>
      </c>
      <c r="M18" s="252">
        <v>235</v>
      </c>
      <c r="N18" s="261">
        <v>2.91</v>
      </c>
      <c r="O18" s="263">
        <v>3.4</v>
      </c>
      <c r="P18" s="263">
        <v>3.4</v>
      </c>
      <c r="Q18" s="263">
        <v>6.5</v>
      </c>
    </row>
    <row r="19" spans="1:17" ht="12.75">
      <c r="A19" s="10" t="str">
        <f>HYPERLINK("http://ct.wwsires.com/bull/250HO13824","FAMOUS")</f>
        <v>FAMOUS</v>
      </c>
      <c r="B19" t="s">
        <v>35</v>
      </c>
      <c r="C19" t="s">
        <v>36</v>
      </c>
      <c r="D19">
        <v>2774</v>
      </c>
      <c r="E19">
        <v>1808</v>
      </c>
      <c r="F19">
        <v>101</v>
      </c>
      <c r="G19" s="261">
        <v>0.12</v>
      </c>
      <c r="H19">
        <v>68</v>
      </c>
      <c r="I19" s="261">
        <v>0.05</v>
      </c>
      <c r="J19" s="261">
        <v>2.15</v>
      </c>
      <c r="K19" s="261">
        <v>1.98</v>
      </c>
      <c r="L19" s="263">
        <v>7.2</v>
      </c>
      <c r="M19" s="252">
        <v>235</v>
      </c>
      <c r="N19" s="261">
        <v>3.06</v>
      </c>
      <c r="O19" s="263">
        <v>1.3</v>
      </c>
      <c r="P19" s="263">
        <v>1</v>
      </c>
      <c r="Q19" s="263">
        <v>6.2</v>
      </c>
    </row>
    <row r="20" spans="1:17" ht="12.75">
      <c r="A20" s="11" t="str">
        <f>HYPERLINK("http://ct.wwsires.com/bull/7HO13642","BLUESKY")</f>
        <v>BLUESKY</v>
      </c>
      <c r="B20" t="s">
        <v>37</v>
      </c>
      <c r="C20" t="s">
        <v>38</v>
      </c>
      <c r="D20">
        <v>2744</v>
      </c>
      <c r="E20">
        <v>2686</v>
      </c>
      <c r="F20">
        <v>91</v>
      </c>
      <c r="G20" s="261">
        <v>-0.03</v>
      </c>
      <c r="H20">
        <v>85</v>
      </c>
      <c r="I20" s="261">
        <v>0.02</v>
      </c>
      <c r="J20" s="261">
        <v>1.97</v>
      </c>
      <c r="K20" s="261">
        <v>1.47</v>
      </c>
      <c r="L20" s="263">
        <v>6</v>
      </c>
      <c r="M20" s="252">
        <v>234</v>
      </c>
      <c r="N20" s="261">
        <v>3.05</v>
      </c>
      <c r="O20" s="263">
        <v>1.2</v>
      </c>
      <c r="P20" s="263">
        <v>0.6</v>
      </c>
      <c r="Q20" s="263">
        <v>6.9</v>
      </c>
    </row>
    <row r="21" spans="1:17" ht="12.75">
      <c r="A21" s="12" t="str">
        <f>HYPERLINK("http://ct.wwsires.com/bull/7HO13752","JADE")</f>
        <v>JADE</v>
      </c>
      <c r="B21" t="s">
        <v>39</v>
      </c>
      <c r="C21" t="s">
        <v>40</v>
      </c>
      <c r="D21">
        <v>2770</v>
      </c>
      <c r="E21">
        <v>2061</v>
      </c>
      <c r="F21">
        <v>96</v>
      </c>
      <c r="G21" s="261">
        <v>0.07</v>
      </c>
      <c r="H21">
        <v>80</v>
      </c>
      <c r="I21" s="261">
        <v>0.07</v>
      </c>
      <c r="J21" s="261">
        <v>2.37</v>
      </c>
      <c r="K21" s="261">
        <v>1.8900000000000001</v>
      </c>
      <c r="L21" s="263">
        <v>4.9</v>
      </c>
      <c r="M21" s="252">
        <v>234</v>
      </c>
      <c r="N21" s="261">
        <v>3</v>
      </c>
      <c r="O21" s="263">
        <v>1.6</v>
      </c>
      <c r="P21" s="263">
        <v>1.3</v>
      </c>
      <c r="Q21" s="263">
        <v>7.6</v>
      </c>
    </row>
    <row r="22" spans="1:17" ht="12.75">
      <c r="A22" s="13" t="str">
        <f>HYPERLINK("http://ct.wwsires.com/bull/7HO12811","LOPEZ")</f>
        <v>LOPEZ</v>
      </c>
      <c r="B22" t="s">
        <v>41</v>
      </c>
      <c r="C22" t="s">
        <v>42</v>
      </c>
      <c r="D22">
        <v>2727</v>
      </c>
      <c r="E22">
        <v>1353</v>
      </c>
      <c r="F22">
        <v>111</v>
      </c>
      <c r="G22" s="261">
        <v>0.22</v>
      </c>
      <c r="H22">
        <v>55</v>
      </c>
      <c r="I22" s="261">
        <v>0.05</v>
      </c>
      <c r="J22" s="261">
        <v>1.32</v>
      </c>
      <c r="K22" s="261">
        <v>1.15</v>
      </c>
      <c r="L22" s="263">
        <v>6.8</v>
      </c>
      <c r="M22" s="252">
        <v>231</v>
      </c>
      <c r="N22" s="261">
        <v>2.93</v>
      </c>
      <c r="O22" s="263">
        <v>2.7</v>
      </c>
      <c r="P22" s="263">
        <v>2.4</v>
      </c>
      <c r="Q22" s="263">
        <v>7.1</v>
      </c>
    </row>
    <row r="23" spans="1:17" ht="12.75">
      <c r="A23" s="14" t="str">
        <f>HYPERLINK("http://ct.wwsires.com/bull/507HO12997","TARRINO")</f>
        <v>TARRINO</v>
      </c>
      <c r="B23" t="s">
        <v>43</v>
      </c>
      <c r="C23" t="s">
        <v>44</v>
      </c>
      <c r="D23">
        <v>2899</v>
      </c>
      <c r="E23">
        <v>2005</v>
      </c>
      <c r="F23">
        <v>101</v>
      </c>
      <c r="G23" s="261">
        <v>0.09</v>
      </c>
      <c r="H23">
        <v>66</v>
      </c>
      <c r="I23" s="261">
        <v>0.03</v>
      </c>
      <c r="J23" s="261">
        <v>2.48</v>
      </c>
      <c r="K23" s="261">
        <v>2.5</v>
      </c>
      <c r="L23" s="263">
        <v>7.2</v>
      </c>
      <c r="M23" s="252">
        <v>229</v>
      </c>
      <c r="N23" s="261">
        <v>3</v>
      </c>
      <c r="O23" s="263">
        <v>3.7</v>
      </c>
      <c r="P23" s="263">
        <v>3.4</v>
      </c>
      <c r="Q23" s="263">
        <v>6.2</v>
      </c>
    </row>
    <row r="24" spans="1:17" ht="12.75">
      <c r="A24" s="15" t="str">
        <f>HYPERLINK("http://ct.wwsires.com/bull/7HO12165","MONTROSS")</f>
        <v>MONTROSS</v>
      </c>
      <c r="B24" t="s">
        <v>45</v>
      </c>
      <c r="C24" t="s">
        <v>46</v>
      </c>
      <c r="D24">
        <v>2772</v>
      </c>
      <c r="E24">
        <v>3024</v>
      </c>
      <c r="F24">
        <v>83</v>
      </c>
      <c r="G24" s="261">
        <v>-0.1</v>
      </c>
      <c r="H24">
        <v>89</v>
      </c>
      <c r="I24" s="261">
        <v>-0.01</v>
      </c>
      <c r="J24" s="261">
        <v>1.99</v>
      </c>
      <c r="K24" s="261">
        <v>2.41</v>
      </c>
      <c r="L24" s="263">
        <v>6.2</v>
      </c>
      <c r="M24" s="252">
        <v>227</v>
      </c>
      <c r="N24" s="261">
        <v>3.13</v>
      </c>
      <c r="O24" s="263">
        <v>1.7</v>
      </c>
      <c r="P24" s="263">
        <v>2</v>
      </c>
      <c r="Q24" s="263">
        <v>6.8</v>
      </c>
    </row>
    <row r="25" spans="1:17" ht="12.75">
      <c r="A25" s="16" t="str">
        <f>HYPERLINK("http://ct.wwsires.com/bull/7HO11986","BALLGAME")</f>
        <v>BALLGAME</v>
      </c>
      <c r="B25" t="s">
        <v>47</v>
      </c>
      <c r="C25" t="s">
        <v>48</v>
      </c>
      <c r="D25">
        <v>2546</v>
      </c>
      <c r="E25">
        <v>2242</v>
      </c>
      <c r="F25">
        <v>96</v>
      </c>
      <c r="G25" s="261">
        <v>0.04</v>
      </c>
      <c r="H25">
        <v>73</v>
      </c>
      <c r="I25" s="261">
        <v>0.02</v>
      </c>
      <c r="J25" s="261">
        <v>0.71</v>
      </c>
      <c r="K25" s="261">
        <v>-0.39</v>
      </c>
      <c r="L25" s="263">
        <v>7</v>
      </c>
      <c r="M25" s="252">
        <v>227</v>
      </c>
      <c r="N25" s="261">
        <v>2.77</v>
      </c>
      <c r="O25" s="263">
        <v>1</v>
      </c>
      <c r="P25" s="263">
        <v>0.8</v>
      </c>
      <c r="Q25" s="263">
        <v>6</v>
      </c>
    </row>
    <row r="26" spans="1:17" ht="12.75">
      <c r="A26" s="17" t="str">
        <f>HYPERLINK("http://ct.wwsires.com/bull/7HO12868","ADVANCE")</f>
        <v>ADVANCE</v>
      </c>
      <c r="B26" t="s">
        <v>49</v>
      </c>
      <c r="C26" t="s">
        <v>28</v>
      </c>
      <c r="D26">
        <v>2779</v>
      </c>
      <c r="E26">
        <v>1782</v>
      </c>
      <c r="F26">
        <v>95</v>
      </c>
      <c r="G26" s="261">
        <v>0.11</v>
      </c>
      <c r="H26">
        <v>73</v>
      </c>
      <c r="I26" s="261">
        <v>0.06</v>
      </c>
      <c r="J26" s="261">
        <v>1.96</v>
      </c>
      <c r="K26" s="261">
        <v>2.17</v>
      </c>
      <c r="L26" s="263">
        <v>6.8</v>
      </c>
      <c r="M26" s="252">
        <v>226</v>
      </c>
      <c r="N26" s="261">
        <v>2.88</v>
      </c>
      <c r="O26" s="263">
        <v>1.4</v>
      </c>
      <c r="P26" s="263">
        <v>1.1</v>
      </c>
      <c r="Q26" s="263">
        <v>7.8</v>
      </c>
    </row>
    <row r="27" spans="1:17" ht="12.75">
      <c r="A27" s="18" t="str">
        <f>HYPERLINK("http://ct.wwsires.com/bull/14HO07796","GRIFF")</f>
        <v>GRIFF</v>
      </c>
      <c r="B27" t="s">
        <v>50</v>
      </c>
      <c r="C27" t="s">
        <v>51</v>
      </c>
      <c r="D27">
        <v>2708</v>
      </c>
      <c r="E27">
        <v>1104</v>
      </c>
      <c r="F27">
        <v>108</v>
      </c>
      <c r="G27" s="261">
        <v>0.24</v>
      </c>
      <c r="H27">
        <v>55</v>
      </c>
      <c r="I27" s="261">
        <v>0.08</v>
      </c>
      <c r="J27" s="261">
        <v>1.55</v>
      </c>
      <c r="K27" s="261">
        <v>1.65</v>
      </c>
      <c r="L27" s="263">
        <v>6.2</v>
      </c>
      <c r="M27" s="252">
        <v>225</v>
      </c>
      <c r="N27" s="261">
        <v>2.89</v>
      </c>
      <c r="O27" s="263">
        <v>2.1</v>
      </c>
      <c r="P27" s="263">
        <v>1.7</v>
      </c>
      <c r="Q27" s="263">
        <v>7.4</v>
      </c>
    </row>
    <row r="28" spans="1:17" ht="12.75">
      <c r="A28" s="19" t="str">
        <f>HYPERLINK("http://ct.wwsires.com/bull/14HO13925","MAJESTIC")</f>
        <v>MAJESTIC</v>
      </c>
      <c r="B28" t="s">
        <v>52</v>
      </c>
      <c r="C28" t="s">
        <v>53</v>
      </c>
      <c r="D28">
        <v>2785</v>
      </c>
      <c r="E28">
        <v>1809</v>
      </c>
      <c r="F28">
        <v>103</v>
      </c>
      <c r="G28" s="261">
        <v>0.13</v>
      </c>
      <c r="H28">
        <v>61</v>
      </c>
      <c r="I28" s="261">
        <v>0.03</v>
      </c>
      <c r="J28" s="261">
        <v>1.42</v>
      </c>
      <c r="K28" s="261">
        <v>1.49</v>
      </c>
      <c r="L28" s="263">
        <v>8.8</v>
      </c>
      <c r="M28" s="252">
        <v>225</v>
      </c>
      <c r="N28" s="261">
        <v>2.83</v>
      </c>
      <c r="O28" s="263">
        <v>2.7</v>
      </c>
      <c r="P28" s="263">
        <v>2.5</v>
      </c>
      <c r="Q28" s="263">
        <v>7.4</v>
      </c>
    </row>
    <row r="29" spans="1:17" ht="12.75">
      <c r="A29" s="20" t="str">
        <f>HYPERLINK("http://ct.wwsires.com/bull/507HO13771","KENNEDY")</f>
        <v>KENNEDY</v>
      </c>
      <c r="B29" t="s">
        <v>54</v>
      </c>
      <c r="C29" t="s">
        <v>55</v>
      </c>
      <c r="D29">
        <v>2862</v>
      </c>
      <c r="E29">
        <v>1437</v>
      </c>
      <c r="F29">
        <v>108</v>
      </c>
      <c r="G29" s="261">
        <v>0.2</v>
      </c>
      <c r="H29">
        <v>56</v>
      </c>
      <c r="I29" s="261">
        <v>0.04</v>
      </c>
      <c r="J29" s="261">
        <v>1.5699999999999998</v>
      </c>
      <c r="K29" s="261">
        <v>1.55</v>
      </c>
      <c r="L29" s="263">
        <v>9.9</v>
      </c>
      <c r="M29" s="252">
        <v>224</v>
      </c>
      <c r="N29" s="261">
        <v>2.91</v>
      </c>
      <c r="O29" s="263">
        <v>3.9</v>
      </c>
      <c r="P29" s="263">
        <v>4.1</v>
      </c>
      <c r="Q29" s="263">
        <v>6.5</v>
      </c>
    </row>
    <row r="30" spans="1:17" ht="12.75">
      <c r="A30" s="21" t="str">
        <f>HYPERLINK("http://ct.wwsires.com/bull/14HO14038","BOUNTY")</f>
        <v>BOUNTY</v>
      </c>
      <c r="B30" t="s">
        <v>56</v>
      </c>
      <c r="C30" t="s">
        <v>57</v>
      </c>
      <c r="D30">
        <v>2722</v>
      </c>
      <c r="E30">
        <v>2071</v>
      </c>
      <c r="F30">
        <v>95</v>
      </c>
      <c r="G30" s="261">
        <v>0.06</v>
      </c>
      <c r="H30">
        <v>71</v>
      </c>
      <c r="I30" s="261">
        <v>0.03</v>
      </c>
      <c r="J30" s="261">
        <v>1.25</v>
      </c>
      <c r="K30" s="261">
        <v>1.75</v>
      </c>
      <c r="L30" s="263">
        <v>7.3</v>
      </c>
      <c r="M30" s="252">
        <v>224</v>
      </c>
      <c r="N30" s="261">
        <v>2.76</v>
      </c>
      <c r="O30" s="263">
        <v>1.4</v>
      </c>
      <c r="P30" s="263">
        <v>1.3</v>
      </c>
      <c r="Q30" s="263">
        <v>6.7</v>
      </c>
    </row>
    <row r="31" spans="1:17" ht="12.75">
      <c r="A31" s="22" t="str">
        <f>HYPERLINK("http://ct.wwsires.com/bull/14HO07743","NATHAN")</f>
        <v>NATHAN</v>
      </c>
      <c r="B31" t="s">
        <v>58</v>
      </c>
      <c r="C31" t="s">
        <v>59</v>
      </c>
      <c r="D31">
        <v>2655</v>
      </c>
      <c r="E31">
        <v>1394</v>
      </c>
      <c r="F31">
        <v>101</v>
      </c>
      <c r="G31" s="261">
        <v>0.18</v>
      </c>
      <c r="H31">
        <v>58</v>
      </c>
      <c r="I31" s="261">
        <v>0.06</v>
      </c>
      <c r="J31" s="261">
        <v>1.22</v>
      </c>
      <c r="K31" s="261">
        <v>1.6800000000000002</v>
      </c>
      <c r="L31" s="263">
        <v>6.3</v>
      </c>
      <c r="M31" s="252">
        <v>224</v>
      </c>
      <c r="N31" s="261">
        <v>3.05</v>
      </c>
      <c r="O31" s="263">
        <v>1.6</v>
      </c>
      <c r="P31" s="263">
        <v>1.3</v>
      </c>
      <c r="Q31" s="263">
        <v>6</v>
      </c>
    </row>
    <row r="32" spans="1:17" ht="12.75">
      <c r="A32" s="23" t="str">
        <f>HYPERLINK("http://ct.wwsires.com/bull/7HO13766","JOHNSON")</f>
        <v>JOHNSON</v>
      </c>
      <c r="B32" t="s">
        <v>60</v>
      </c>
      <c r="C32" t="s">
        <v>55</v>
      </c>
      <c r="D32">
        <v>2781</v>
      </c>
      <c r="E32">
        <v>1819</v>
      </c>
      <c r="F32">
        <v>95</v>
      </c>
      <c r="G32" s="261">
        <v>0.1</v>
      </c>
      <c r="H32">
        <v>71</v>
      </c>
      <c r="I32" s="261">
        <v>0.06</v>
      </c>
      <c r="J32" s="261">
        <v>1.92</v>
      </c>
      <c r="K32" s="261">
        <v>1.33</v>
      </c>
      <c r="L32" s="263">
        <v>7.2</v>
      </c>
      <c r="M32" s="252">
        <v>223</v>
      </c>
      <c r="N32" s="261">
        <v>2.94</v>
      </c>
      <c r="O32" s="263">
        <v>2.9</v>
      </c>
      <c r="P32" s="263">
        <v>2.9</v>
      </c>
      <c r="Q32" s="263">
        <v>7.2</v>
      </c>
    </row>
    <row r="33" spans="1:17" ht="12.75">
      <c r="A33" s="24" t="str">
        <f>HYPERLINK("http://ct.wwsires.com/bull/14HO07868","KIOSK")</f>
        <v>KIOSK</v>
      </c>
      <c r="B33" t="s">
        <v>61</v>
      </c>
      <c r="C33" t="s">
        <v>62</v>
      </c>
      <c r="D33">
        <v>2709</v>
      </c>
      <c r="E33">
        <v>1985</v>
      </c>
      <c r="F33">
        <v>93</v>
      </c>
      <c r="G33" s="261">
        <v>0.07</v>
      </c>
      <c r="H33">
        <v>76</v>
      </c>
      <c r="I33" s="261">
        <v>0.06</v>
      </c>
      <c r="J33" s="261">
        <v>1.74</v>
      </c>
      <c r="K33" s="261">
        <v>1.23</v>
      </c>
      <c r="L33" s="263">
        <v>7.3</v>
      </c>
      <c r="M33" s="252">
        <v>222</v>
      </c>
      <c r="N33" s="261">
        <v>2.87</v>
      </c>
      <c r="O33" s="263">
        <v>0.9</v>
      </c>
      <c r="P33" s="263">
        <v>1.1</v>
      </c>
      <c r="Q33" s="263">
        <v>7.7</v>
      </c>
    </row>
    <row r="34" spans="1:17" ht="12.75">
      <c r="A34" s="25" t="str">
        <f>HYPERLINK("http://ct.wwsires.com/bull/7HO13764","TYLER")</f>
        <v>TYLER</v>
      </c>
      <c r="B34" t="s">
        <v>63</v>
      </c>
      <c r="C34" t="s">
        <v>55</v>
      </c>
      <c r="D34">
        <v>2810</v>
      </c>
      <c r="E34">
        <v>1413</v>
      </c>
      <c r="F34">
        <v>93</v>
      </c>
      <c r="G34" s="261">
        <v>0.14</v>
      </c>
      <c r="H34">
        <v>61</v>
      </c>
      <c r="I34" s="261">
        <v>0.07</v>
      </c>
      <c r="J34" s="261">
        <v>1.6099999999999999</v>
      </c>
      <c r="K34" s="261">
        <v>1.8900000000000001</v>
      </c>
      <c r="L34" s="263">
        <v>8.8</v>
      </c>
      <c r="M34" s="252">
        <v>222</v>
      </c>
      <c r="N34" s="261">
        <v>2.9699999999999998</v>
      </c>
      <c r="O34" s="263">
        <v>3.8</v>
      </c>
      <c r="P34" s="263">
        <v>3.7</v>
      </c>
      <c r="Q34" s="263">
        <v>6.3</v>
      </c>
    </row>
    <row r="35" spans="1:17" ht="12.75">
      <c r="A35" s="26" t="str">
        <f>HYPERLINK("http://ct.wwsires.com/bull/7HO12256","MAGUIRE")</f>
        <v>MAGUIRE</v>
      </c>
      <c r="B35" t="s">
        <v>64</v>
      </c>
      <c r="C35" t="s">
        <v>65</v>
      </c>
      <c r="D35">
        <v>2591</v>
      </c>
      <c r="E35">
        <v>1566</v>
      </c>
      <c r="F35">
        <v>112</v>
      </c>
      <c r="G35" s="261">
        <v>0.19</v>
      </c>
      <c r="H35">
        <v>59</v>
      </c>
      <c r="I35" s="261">
        <v>0.04</v>
      </c>
      <c r="J35" s="261">
        <v>1.5</v>
      </c>
      <c r="K35" s="261">
        <v>1.08</v>
      </c>
      <c r="L35" s="263">
        <v>4.9</v>
      </c>
      <c r="M35" s="252">
        <v>221</v>
      </c>
      <c r="N35" s="261">
        <v>2.75</v>
      </c>
      <c r="O35" s="263">
        <v>-0.7</v>
      </c>
      <c r="P35" s="263">
        <v>-1.2</v>
      </c>
      <c r="Q35" s="263">
        <v>6.2</v>
      </c>
    </row>
    <row r="36" spans="1:17" ht="12.75">
      <c r="A36" s="27" t="str">
        <f>HYPERLINK("http://ct.wwsires.com/bull/7HO12788","FRAZZLED")</f>
        <v>FRAZZLED</v>
      </c>
      <c r="B36" t="s">
        <v>66</v>
      </c>
      <c r="C36" t="s">
        <v>67</v>
      </c>
      <c r="D36">
        <v>2797</v>
      </c>
      <c r="E36">
        <v>2465</v>
      </c>
      <c r="F36">
        <v>97</v>
      </c>
      <c r="G36" s="261">
        <v>0.02</v>
      </c>
      <c r="H36">
        <v>73</v>
      </c>
      <c r="I36" s="261">
        <v>0</v>
      </c>
      <c r="J36" s="261">
        <v>1.26</v>
      </c>
      <c r="K36" s="261">
        <v>1.55</v>
      </c>
      <c r="L36" s="263">
        <v>9</v>
      </c>
      <c r="M36" s="252">
        <v>220</v>
      </c>
      <c r="N36" s="261">
        <v>2.66</v>
      </c>
      <c r="O36" s="263">
        <v>2</v>
      </c>
      <c r="P36" s="263">
        <v>1.5</v>
      </c>
      <c r="Q36" s="263">
        <v>8.4</v>
      </c>
    </row>
    <row r="37" spans="1:17" ht="12.75">
      <c r="A37" s="28" t="str">
        <f>HYPERLINK("http://ct.wwsires.com/bull/7HO13284","LONESTAR")</f>
        <v>LONESTAR</v>
      </c>
      <c r="B37" t="s">
        <v>68</v>
      </c>
      <c r="C37" t="s">
        <v>69</v>
      </c>
      <c r="D37">
        <v>2694</v>
      </c>
      <c r="E37">
        <v>2000</v>
      </c>
      <c r="F37">
        <v>84</v>
      </c>
      <c r="G37" s="261">
        <v>0.04</v>
      </c>
      <c r="H37">
        <v>77</v>
      </c>
      <c r="I37" s="261">
        <v>0.06</v>
      </c>
      <c r="J37" s="261">
        <v>1.25</v>
      </c>
      <c r="K37" s="261">
        <v>1.28</v>
      </c>
      <c r="L37" s="263">
        <v>6.3</v>
      </c>
      <c r="M37" s="252">
        <v>220</v>
      </c>
      <c r="N37" s="261">
        <v>3.04</v>
      </c>
      <c r="O37" s="263">
        <v>3.6</v>
      </c>
      <c r="P37" s="263">
        <v>3.7</v>
      </c>
      <c r="Q37" s="263">
        <v>7.3</v>
      </c>
    </row>
    <row r="38" spans="1:17" ht="12.75">
      <c r="A38" s="29" t="str">
        <f>HYPERLINK("http://ct.wwsires.com/bull/14HO13761","ADAMS")</f>
        <v>ADAMS</v>
      </c>
      <c r="B38" t="s">
        <v>70</v>
      </c>
      <c r="C38" t="s">
        <v>55</v>
      </c>
      <c r="D38">
        <v>2779</v>
      </c>
      <c r="E38">
        <v>1614</v>
      </c>
      <c r="F38">
        <v>92</v>
      </c>
      <c r="G38" s="261">
        <v>0.11</v>
      </c>
      <c r="H38">
        <v>65</v>
      </c>
      <c r="I38" s="261">
        <v>0.06</v>
      </c>
      <c r="J38" s="261">
        <v>1.8399999999999999</v>
      </c>
      <c r="K38" s="261">
        <v>1.77</v>
      </c>
      <c r="L38" s="263">
        <v>7.5</v>
      </c>
      <c r="M38" s="252">
        <v>220</v>
      </c>
      <c r="N38" s="261">
        <v>2.88</v>
      </c>
      <c r="O38" s="263">
        <v>3.3</v>
      </c>
      <c r="P38" s="263">
        <v>2.9</v>
      </c>
      <c r="Q38" s="263">
        <v>6.2</v>
      </c>
    </row>
    <row r="39" spans="1:17" ht="12.75">
      <c r="A39" s="30" t="str">
        <f>HYPERLINK("http://ct.wwsires.com/bull/7HO13568","MIGUEL")</f>
        <v>MIGUEL</v>
      </c>
      <c r="B39" t="s">
        <v>71</v>
      </c>
      <c r="C39" t="s">
        <v>72</v>
      </c>
      <c r="D39">
        <v>2635</v>
      </c>
      <c r="E39">
        <v>2026</v>
      </c>
      <c r="F39">
        <v>87</v>
      </c>
      <c r="G39" s="261">
        <v>0.04</v>
      </c>
      <c r="H39">
        <v>70</v>
      </c>
      <c r="I39" s="261">
        <v>0.04</v>
      </c>
      <c r="J39" s="261">
        <v>1.17</v>
      </c>
      <c r="K39" s="261">
        <v>0.87</v>
      </c>
      <c r="L39" s="263">
        <v>7.4</v>
      </c>
      <c r="M39" s="252">
        <v>220</v>
      </c>
      <c r="N39" s="261">
        <v>2.77</v>
      </c>
      <c r="O39" s="263">
        <v>1.3</v>
      </c>
      <c r="P39" s="263">
        <v>1.2</v>
      </c>
      <c r="Q39" s="263">
        <v>6.5</v>
      </c>
    </row>
    <row r="40" spans="1:17" ht="12.75">
      <c r="A40" s="31" t="str">
        <f>HYPERLINK("http://ct.wwsires.com/bull/7HO12742","FOXHOLE")</f>
        <v>FOXHOLE</v>
      </c>
      <c r="B40" t="s">
        <v>73</v>
      </c>
      <c r="C40" t="s">
        <v>74</v>
      </c>
      <c r="D40">
        <v>2665</v>
      </c>
      <c r="E40">
        <v>2381</v>
      </c>
      <c r="F40">
        <v>89</v>
      </c>
      <c r="G40" s="261">
        <v>0.01</v>
      </c>
      <c r="H40">
        <v>77</v>
      </c>
      <c r="I40" s="261">
        <v>0.02</v>
      </c>
      <c r="J40" s="261">
        <v>1.1</v>
      </c>
      <c r="K40" s="261">
        <v>1.44</v>
      </c>
      <c r="L40" s="263">
        <v>6.1</v>
      </c>
      <c r="M40" s="252">
        <v>219</v>
      </c>
      <c r="N40" s="261">
        <v>2.94</v>
      </c>
      <c r="O40" s="263">
        <v>1.5</v>
      </c>
      <c r="P40" s="263">
        <v>1.3</v>
      </c>
      <c r="Q40" s="263">
        <v>6.5</v>
      </c>
    </row>
    <row r="41" spans="1:17" ht="12.75">
      <c r="A41" s="32" t="str">
        <f>HYPERLINK("http://ct.wwsires.com/bull/7HO13334","PHANTOM")</f>
        <v>PHANTOM</v>
      </c>
      <c r="B41" t="s">
        <v>75</v>
      </c>
      <c r="C41" t="s">
        <v>76</v>
      </c>
      <c r="D41">
        <v>2667</v>
      </c>
      <c r="E41">
        <v>1832</v>
      </c>
      <c r="F41">
        <v>102</v>
      </c>
      <c r="G41" s="261">
        <v>0.12</v>
      </c>
      <c r="H41">
        <v>69</v>
      </c>
      <c r="I41" s="261">
        <v>0.05</v>
      </c>
      <c r="J41" s="261">
        <v>1.99</v>
      </c>
      <c r="K41" s="261">
        <v>1.26</v>
      </c>
      <c r="L41" s="263">
        <v>5.3</v>
      </c>
      <c r="M41" s="252">
        <v>219</v>
      </c>
      <c r="N41" s="261">
        <v>2.76</v>
      </c>
      <c r="O41" s="263">
        <v>0.5</v>
      </c>
      <c r="P41" s="263">
        <v>0.5</v>
      </c>
      <c r="Q41" s="263">
        <v>7.6</v>
      </c>
    </row>
    <row r="42" spans="1:17" ht="12.75">
      <c r="A42" s="33" t="str">
        <f>HYPERLINK("http://ct.wwsires.com/bull/14HO13666","DELROY")</f>
        <v>DELROY</v>
      </c>
      <c r="B42" t="s">
        <v>77</v>
      </c>
      <c r="C42" t="s">
        <v>78</v>
      </c>
      <c r="D42">
        <v>2774</v>
      </c>
      <c r="E42">
        <v>1521</v>
      </c>
      <c r="F42">
        <v>94</v>
      </c>
      <c r="G42" s="261">
        <v>0.13</v>
      </c>
      <c r="H42">
        <v>62</v>
      </c>
      <c r="I42" s="261">
        <v>0.06</v>
      </c>
      <c r="J42" s="261">
        <v>1.3900000000000001</v>
      </c>
      <c r="K42" s="261">
        <v>1.54</v>
      </c>
      <c r="L42" s="263">
        <v>9</v>
      </c>
      <c r="M42" s="252">
        <v>218</v>
      </c>
      <c r="N42" s="261">
        <v>2.7800000000000002</v>
      </c>
      <c r="O42" s="263">
        <v>3.1</v>
      </c>
      <c r="P42" s="263">
        <v>3.1</v>
      </c>
      <c r="Q42" s="263">
        <v>7.4</v>
      </c>
    </row>
    <row r="43" spans="1:17" ht="12.75">
      <c r="A43" s="34" t="str">
        <f>HYPERLINK("http://ct.wwsires.com/bull/7HO12821","EVEREST")</f>
        <v>EVEREST</v>
      </c>
      <c r="B43" t="s">
        <v>79</v>
      </c>
      <c r="C43" t="s">
        <v>80</v>
      </c>
      <c r="D43">
        <v>2733</v>
      </c>
      <c r="E43">
        <v>1264</v>
      </c>
      <c r="F43">
        <v>107</v>
      </c>
      <c r="G43" s="261">
        <v>0.21</v>
      </c>
      <c r="H43">
        <v>54</v>
      </c>
      <c r="I43" s="261">
        <v>0.06</v>
      </c>
      <c r="J43" s="261">
        <v>1.29</v>
      </c>
      <c r="K43" s="261">
        <v>1.3599999999999999</v>
      </c>
      <c r="L43" s="263">
        <v>8.5</v>
      </c>
      <c r="M43" s="252">
        <v>218</v>
      </c>
      <c r="N43" s="261">
        <v>2.87</v>
      </c>
      <c r="O43" s="263">
        <v>2.4</v>
      </c>
      <c r="P43" s="263">
        <v>2.4</v>
      </c>
      <c r="Q43" s="263">
        <v>7.8</v>
      </c>
    </row>
    <row r="44" spans="1:17" ht="12.75">
      <c r="A44" s="35" t="str">
        <f>HYPERLINK("http://ct.wwsires.com/bull/7HO12697","LAIDLAW")</f>
        <v>LAIDLAW</v>
      </c>
      <c r="B44" t="s">
        <v>81</v>
      </c>
      <c r="C44" t="s">
        <v>69</v>
      </c>
      <c r="D44">
        <v>2644</v>
      </c>
      <c r="E44">
        <v>2575</v>
      </c>
      <c r="F44">
        <v>84</v>
      </c>
      <c r="G44" s="261">
        <v>-0.04</v>
      </c>
      <c r="H44">
        <v>79</v>
      </c>
      <c r="I44" s="261">
        <v>0.01</v>
      </c>
      <c r="J44" s="261">
        <v>2</v>
      </c>
      <c r="K44" s="261">
        <v>1.88</v>
      </c>
      <c r="L44" s="263">
        <v>4.7</v>
      </c>
      <c r="M44" s="252">
        <v>217</v>
      </c>
      <c r="N44" s="261">
        <v>2.99</v>
      </c>
      <c r="O44" s="263">
        <v>0.6</v>
      </c>
      <c r="P44" s="263">
        <v>0.5</v>
      </c>
      <c r="Q44" s="263">
        <v>9.5</v>
      </c>
    </row>
    <row r="45" spans="1:17" ht="12.75">
      <c r="A45" s="36" t="str">
        <f>HYPERLINK("http://ct.wwsires.com/bull/14HO13940","SHERMAN")</f>
        <v>SHERMAN</v>
      </c>
      <c r="B45" t="s">
        <v>82</v>
      </c>
      <c r="C45" t="s">
        <v>83</v>
      </c>
      <c r="D45">
        <v>2779</v>
      </c>
      <c r="E45">
        <v>1550</v>
      </c>
      <c r="F45">
        <v>92</v>
      </c>
      <c r="G45" s="261">
        <v>0.12</v>
      </c>
      <c r="H45">
        <v>62</v>
      </c>
      <c r="I45" s="261">
        <v>0.06</v>
      </c>
      <c r="J45" s="261">
        <v>1.3599999999999999</v>
      </c>
      <c r="K45" s="261">
        <v>1.72</v>
      </c>
      <c r="L45" s="263">
        <v>8.1</v>
      </c>
      <c r="M45" s="252">
        <v>217</v>
      </c>
      <c r="N45" s="261">
        <v>2.88</v>
      </c>
      <c r="O45" s="263">
        <v>3.2</v>
      </c>
      <c r="P45" s="263">
        <v>3.3</v>
      </c>
      <c r="Q45" s="263">
        <v>6.2</v>
      </c>
    </row>
    <row r="46" spans="1:17" ht="12.75">
      <c r="A46" s="37" t="str">
        <f>HYPERLINK("http://ct.wwsires.com/bull/7HO13302","MEGAMAN")</f>
        <v>MEGAMAN</v>
      </c>
      <c r="B46" t="s">
        <v>84</v>
      </c>
      <c r="C46" t="s">
        <v>85</v>
      </c>
      <c r="D46">
        <v>2748</v>
      </c>
      <c r="E46">
        <v>1580</v>
      </c>
      <c r="F46">
        <v>87</v>
      </c>
      <c r="G46" s="261">
        <v>0.1</v>
      </c>
      <c r="H46">
        <v>64</v>
      </c>
      <c r="I46" s="261">
        <v>0.06</v>
      </c>
      <c r="J46" s="261">
        <v>1.46</v>
      </c>
      <c r="K46" s="261">
        <v>2.09</v>
      </c>
      <c r="L46" s="263">
        <v>7.6</v>
      </c>
      <c r="M46" s="252">
        <v>216</v>
      </c>
      <c r="N46" s="261">
        <v>2.8</v>
      </c>
      <c r="O46" s="263">
        <v>2.6</v>
      </c>
      <c r="P46" s="263">
        <v>2.1</v>
      </c>
      <c r="Q46" s="263">
        <v>5.8</v>
      </c>
    </row>
    <row r="47" spans="1:17" ht="12.75">
      <c r="A47" s="38" t="str">
        <f>HYPERLINK("http://ct.wwsires.com/bull/14HO07909","QUICKDRAW")</f>
        <v>QUICKDRAW</v>
      </c>
      <c r="B47" t="s">
        <v>86</v>
      </c>
      <c r="C47" t="s">
        <v>87</v>
      </c>
      <c r="D47">
        <v>2754</v>
      </c>
      <c r="E47">
        <v>1276</v>
      </c>
      <c r="F47">
        <v>101</v>
      </c>
      <c r="G47" s="261">
        <v>0.19</v>
      </c>
      <c r="H47">
        <v>55</v>
      </c>
      <c r="I47" s="261">
        <v>0.06</v>
      </c>
      <c r="J47" s="261">
        <v>2.37</v>
      </c>
      <c r="K47" s="261">
        <v>2.65</v>
      </c>
      <c r="L47" s="263">
        <v>6.3</v>
      </c>
      <c r="M47" s="252">
        <v>216</v>
      </c>
      <c r="N47" s="261">
        <v>2.93</v>
      </c>
      <c r="O47" s="263">
        <v>1.5</v>
      </c>
      <c r="P47" s="263">
        <v>1</v>
      </c>
      <c r="Q47" s="263">
        <v>6.5</v>
      </c>
    </row>
    <row r="48" spans="1:17" ht="12.75">
      <c r="A48" s="39" t="str">
        <f>HYPERLINK("http://ct.wwsires.com/bull/7HO11351","SUPERSIRE")</f>
        <v>SUPERSIRE</v>
      </c>
      <c r="B48" t="s">
        <v>88</v>
      </c>
      <c r="C48" t="s">
        <v>89</v>
      </c>
      <c r="D48">
        <v>2607</v>
      </c>
      <c r="E48">
        <v>2070</v>
      </c>
      <c r="F48">
        <v>101</v>
      </c>
      <c r="G48" s="261">
        <v>0.08</v>
      </c>
      <c r="H48">
        <v>65</v>
      </c>
      <c r="I48" s="261">
        <v>0.01</v>
      </c>
      <c r="J48" s="261">
        <v>0.88</v>
      </c>
      <c r="K48" s="261">
        <v>0.63</v>
      </c>
      <c r="L48" s="263">
        <v>7.1</v>
      </c>
      <c r="M48" s="252">
        <v>216</v>
      </c>
      <c r="N48" s="261">
        <v>2.82</v>
      </c>
      <c r="O48" s="263">
        <v>1</v>
      </c>
      <c r="P48" s="263">
        <v>0.6</v>
      </c>
      <c r="Q48" s="263">
        <v>7.2</v>
      </c>
    </row>
    <row r="49" spans="1:17" ht="12.75">
      <c r="A49" s="40" t="str">
        <f>HYPERLINK("http://ct.wwsires.com/bull/14HO07347","MONTY")</f>
        <v>MONTY</v>
      </c>
      <c r="B49" t="s">
        <v>90</v>
      </c>
      <c r="C49" t="s">
        <v>46</v>
      </c>
      <c r="D49">
        <v>2606</v>
      </c>
      <c r="E49">
        <v>2110</v>
      </c>
      <c r="F49">
        <v>95</v>
      </c>
      <c r="G49" s="261">
        <v>0.06</v>
      </c>
      <c r="H49">
        <v>60</v>
      </c>
      <c r="I49" s="261">
        <v>-0.01</v>
      </c>
      <c r="J49" s="261">
        <v>1.47</v>
      </c>
      <c r="K49" s="261">
        <v>2.13</v>
      </c>
      <c r="L49" s="263">
        <v>5.7</v>
      </c>
      <c r="M49" s="252">
        <v>215</v>
      </c>
      <c r="N49" s="261">
        <v>2.91</v>
      </c>
      <c r="O49" s="263">
        <v>-0.1</v>
      </c>
      <c r="P49" s="263">
        <v>-0.2</v>
      </c>
      <c r="Q49" s="263">
        <v>5.8</v>
      </c>
    </row>
    <row r="50" spans="1:17" ht="12.75">
      <c r="A50" s="41" t="str">
        <f>HYPERLINK("http://ct.wwsires.com/bull/7HO13770","HOOVER")</f>
        <v>HOOVER</v>
      </c>
      <c r="B50" t="s">
        <v>91</v>
      </c>
      <c r="C50" t="s">
        <v>55</v>
      </c>
      <c r="D50">
        <v>2793</v>
      </c>
      <c r="E50">
        <v>1326</v>
      </c>
      <c r="F50">
        <v>100</v>
      </c>
      <c r="G50" s="261">
        <v>0.18</v>
      </c>
      <c r="H50">
        <v>57</v>
      </c>
      <c r="I50" s="261">
        <v>0.06</v>
      </c>
      <c r="J50" s="261">
        <v>1.9100000000000001</v>
      </c>
      <c r="K50" s="261">
        <v>2.02</v>
      </c>
      <c r="L50" s="263">
        <v>7.9</v>
      </c>
      <c r="M50" s="252">
        <v>215</v>
      </c>
      <c r="N50" s="261">
        <v>2.74</v>
      </c>
      <c r="O50" s="263">
        <v>2.2</v>
      </c>
      <c r="P50" s="263">
        <v>2.2</v>
      </c>
      <c r="Q50" s="263">
        <v>7.1</v>
      </c>
    </row>
    <row r="51" spans="1:17" ht="12.75">
      <c r="A51" s="42" t="str">
        <f>HYPERLINK("http://ct.wwsires.com/bull/14HO13923","FAIRWAY")</f>
        <v>FAIRWAY</v>
      </c>
      <c r="B51" t="s">
        <v>92</v>
      </c>
      <c r="C51" t="s">
        <v>93</v>
      </c>
      <c r="D51">
        <v>2744</v>
      </c>
      <c r="E51">
        <v>2393</v>
      </c>
      <c r="F51">
        <v>89</v>
      </c>
      <c r="G51" s="261">
        <v>0</v>
      </c>
      <c r="H51">
        <v>77</v>
      </c>
      <c r="I51" s="261">
        <v>0.02</v>
      </c>
      <c r="J51" s="261">
        <v>1.67</v>
      </c>
      <c r="K51" s="261">
        <v>2.21</v>
      </c>
      <c r="L51" s="263">
        <v>6</v>
      </c>
      <c r="M51" s="252">
        <v>214</v>
      </c>
      <c r="N51" s="261">
        <v>2.83</v>
      </c>
      <c r="O51" s="263">
        <v>1.6</v>
      </c>
      <c r="P51" s="263">
        <v>1.9</v>
      </c>
      <c r="Q51" s="263">
        <v>6.9</v>
      </c>
    </row>
    <row r="52" spans="1:17" ht="12.75">
      <c r="A52" s="43" t="str">
        <f>HYPERLINK("http://ct.wwsires.com/bull/7HO12901","HAD ME")</f>
        <v>HAD ME</v>
      </c>
      <c r="B52" t="s">
        <v>94</v>
      </c>
      <c r="C52" t="s">
        <v>51</v>
      </c>
      <c r="D52">
        <v>2597</v>
      </c>
      <c r="E52">
        <v>1236</v>
      </c>
      <c r="F52">
        <v>104</v>
      </c>
      <c r="G52" s="261">
        <v>0.21</v>
      </c>
      <c r="H52">
        <v>55</v>
      </c>
      <c r="I52" s="261">
        <v>0.07</v>
      </c>
      <c r="J52" s="261">
        <v>2.4</v>
      </c>
      <c r="K52" s="261">
        <v>2.33</v>
      </c>
      <c r="L52" s="263">
        <v>4.4</v>
      </c>
      <c r="M52" s="252">
        <v>213</v>
      </c>
      <c r="N52" s="261">
        <v>2.9699999999999998</v>
      </c>
      <c r="O52" s="263">
        <v>-0.7</v>
      </c>
      <c r="P52" s="263">
        <v>-1</v>
      </c>
      <c r="Q52" s="263">
        <v>7.5</v>
      </c>
    </row>
    <row r="53" spans="1:17" ht="12.75">
      <c r="A53" s="44" t="str">
        <f>HYPERLINK("http://ct.wwsires.com/bull/14HO07887","MENTHOL")</f>
        <v>MENTHOL</v>
      </c>
      <c r="B53" t="s">
        <v>95</v>
      </c>
      <c r="C53" t="s">
        <v>96</v>
      </c>
      <c r="D53">
        <v>2776</v>
      </c>
      <c r="E53">
        <v>1786</v>
      </c>
      <c r="F53">
        <v>94</v>
      </c>
      <c r="G53" s="261">
        <v>0.1</v>
      </c>
      <c r="H53">
        <v>62</v>
      </c>
      <c r="I53" s="261">
        <v>0.03</v>
      </c>
      <c r="J53" s="261">
        <v>2.46</v>
      </c>
      <c r="K53" s="261">
        <v>2.46</v>
      </c>
      <c r="L53" s="263">
        <v>7.1</v>
      </c>
      <c r="M53" s="252">
        <v>212</v>
      </c>
      <c r="N53" s="261">
        <v>2.85</v>
      </c>
      <c r="O53" s="263">
        <v>1.5</v>
      </c>
      <c r="P53" s="263">
        <v>1.2</v>
      </c>
      <c r="Q53" s="263">
        <v>6.6</v>
      </c>
    </row>
    <row r="54" spans="1:17" ht="12.75">
      <c r="A54" s="45" t="str">
        <f>HYPERLINK("http://ct.wwsires.com/bull/7HO13492","CONQUEST")</f>
        <v>CONQUEST</v>
      </c>
      <c r="B54" t="s">
        <v>97</v>
      </c>
      <c r="C54" t="s">
        <v>98</v>
      </c>
      <c r="D54">
        <v>2555</v>
      </c>
      <c r="E54">
        <v>1946</v>
      </c>
      <c r="F54">
        <v>82</v>
      </c>
      <c r="G54" s="261">
        <v>0.03</v>
      </c>
      <c r="H54">
        <v>64</v>
      </c>
      <c r="I54" s="261">
        <v>0.02</v>
      </c>
      <c r="J54" s="261">
        <v>0.27</v>
      </c>
      <c r="K54" s="261">
        <v>0.36</v>
      </c>
      <c r="L54" s="263">
        <v>7.6</v>
      </c>
      <c r="M54" s="252">
        <v>212</v>
      </c>
      <c r="N54" s="261">
        <v>2.81</v>
      </c>
      <c r="O54" s="263">
        <v>2.4</v>
      </c>
      <c r="P54" s="263">
        <v>2.2</v>
      </c>
      <c r="Q54" s="263">
        <v>6.8</v>
      </c>
    </row>
    <row r="55" spans="1:17" ht="12.75">
      <c r="A55" s="46" t="str">
        <f>HYPERLINK("http://ct.wwsires.com/bull/7HO13604","JALAPENO")</f>
        <v>JALAPENO</v>
      </c>
      <c r="B55" t="s">
        <v>99</v>
      </c>
      <c r="C55" t="s">
        <v>100</v>
      </c>
      <c r="D55">
        <v>2694</v>
      </c>
      <c r="E55">
        <v>2224</v>
      </c>
      <c r="F55">
        <v>86</v>
      </c>
      <c r="G55" s="261">
        <v>0.01</v>
      </c>
      <c r="H55">
        <v>71</v>
      </c>
      <c r="I55" s="261">
        <v>0.01</v>
      </c>
      <c r="J55" s="261">
        <v>1.65</v>
      </c>
      <c r="K55" s="261">
        <v>1.6800000000000002</v>
      </c>
      <c r="L55" s="263">
        <v>6.9</v>
      </c>
      <c r="M55" s="252">
        <v>211</v>
      </c>
      <c r="N55" s="261">
        <v>2.91</v>
      </c>
      <c r="O55" s="263">
        <v>1.8</v>
      </c>
      <c r="P55" s="263">
        <v>1.7</v>
      </c>
      <c r="Q55" s="263">
        <v>7.9</v>
      </c>
    </row>
    <row r="56" spans="1:17" ht="12.75">
      <c r="A56" s="47" t="str">
        <f>HYPERLINK("http://ct.wwsires.com/bull/7HO13624","SUPREME")</f>
        <v>SUPREME</v>
      </c>
      <c r="B56" t="s">
        <v>101</v>
      </c>
      <c r="C56" t="s">
        <v>102</v>
      </c>
      <c r="D56">
        <v>2824</v>
      </c>
      <c r="E56">
        <v>1708</v>
      </c>
      <c r="F56">
        <v>90</v>
      </c>
      <c r="G56" s="261">
        <v>0.1</v>
      </c>
      <c r="H56">
        <v>60</v>
      </c>
      <c r="I56" s="261">
        <v>0.03</v>
      </c>
      <c r="J56" s="261">
        <v>1.9100000000000001</v>
      </c>
      <c r="K56" s="261">
        <v>2.24</v>
      </c>
      <c r="L56" s="263">
        <v>9</v>
      </c>
      <c r="M56" s="252">
        <v>210</v>
      </c>
      <c r="N56" s="261">
        <v>3.01</v>
      </c>
      <c r="O56" s="263">
        <v>2.9</v>
      </c>
      <c r="P56" s="263">
        <v>2.9</v>
      </c>
      <c r="Q56" s="263">
        <v>5.8</v>
      </c>
    </row>
    <row r="57" spans="1:17" ht="12.75">
      <c r="A57" s="48" t="str">
        <f>HYPERLINK("http://ct.wwsires.com/bull/7HO12266","YODER")</f>
        <v>YODER</v>
      </c>
      <c r="B57" t="s">
        <v>103</v>
      </c>
      <c r="C57" t="s">
        <v>104</v>
      </c>
      <c r="D57">
        <v>2750</v>
      </c>
      <c r="E57">
        <v>1193</v>
      </c>
      <c r="F57">
        <v>102</v>
      </c>
      <c r="G57" s="261">
        <v>0.21</v>
      </c>
      <c r="H57">
        <v>49</v>
      </c>
      <c r="I57" s="261">
        <v>0.05</v>
      </c>
      <c r="J57" s="261">
        <v>1.9</v>
      </c>
      <c r="K57" s="261">
        <v>2.32</v>
      </c>
      <c r="L57" s="263">
        <v>7.3</v>
      </c>
      <c r="M57" s="252">
        <v>210</v>
      </c>
      <c r="N57" s="261">
        <v>3</v>
      </c>
      <c r="O57" s="263">
        <v>2.8</v>
      </c>
      <c r="P57" s="263">
        <v>2.4</v>
      </c>
      <c r="Q57" s="263">
        <v>5.9</v>
      </c>
    </row>
    <row r="58" spans="1:17" ht="12.75">
      <c r="A58" s="49" t="str">
        <f>HYPERLINK("http://ct.wwsires.com/bull/7HO13780","MOZART")</f>
        <v>MOZART</v>
      </c>
      <c r="B58" t="s">
        <v>105</v>
      </c>
      <c r="C58" t="s">
        <v>106</v>
      </c>
      <c r="D58">
        <v>2809</v>
      </c>
      <c r="E58">
        <v>1505</v>
      </c>
      <c r="F58">
        <v>91</v>
      </c>
      <c r="G58" s="261">
        <v>0.13</v>
      </c>
      <c r="H58">
        <v>55</v>
      </c>
      <c r="I58" s="261">
        <v>0.03</v>
      </c>
      <c r="J58" s="261">
        <v>1.79</v>
      </c>
      <c r="K58" s="261">
        <v>2.66</v>
      </c>
      <c r="L58" s="263">
        <v>9.2</v>
      </c>
      <c r="M58" s="252">
        <v>210</v>
      </c>
      <c r="N58" s="261">
        <v>2.9699999999999998</v>
      </c>
      <c r="O58" s="263">
        <v>3.3</v>
      </c>
      <c r="P58" s="263">
        <v>3.3</v>
      </c>
      <c r="Q58" s="263">
        <v>7.1</v>
      </c>
    </row>
    <row r="59" spans="1:17" ht="12.75">
      <c r="A59" s="50" t="str">
        <f>HYPERLINK("http://ct.wwsires.com/bull/7HO13696","LORD")</f>
        <v>LORD</v>
      </c>
      <c r="B59" t="s">
        <v>107</v>
      </c>
      <c r="C59" t="s">
        <v>108</v>
      </c>
      <c r="D59">
        <v>2795</v>
      </c>
      <c r="E59">
        <v>1189</v>
      </c>
      <c r="F59">
        <v>98</v>
      </c>
      <c r="G59" s="261">
        <v>0.2</v>
      </c>
      <c r="H59">
        <v>58</v>
      </c>
      <c r="I59" s="261">
        <v>0.08</v>
      </c>
      <c r="J59" s="261">
        <v>1.9</v>
      </c>
      <c r="K59" s="261">
        <v>2.01</v>
      </c>
      <c r="L59" s="263">
        <v>6.8</v>
      </c>
      <c r="M59" s="252">
        <v>209</v>
      </c>
      <c r="N59" s="261">
        <v>2.9</v>
      </c>
      <c r="O59" s="263">
        <v>3.9</v>
      </c>
      <c r="P59" s="263">
        <v>3.8</v>
      </c>
      <c r="Q59" s="263">
        <v>6.4</v>
      </c>
    </row>
    <row r="60" spans="1:17" ht="12.75">
      <c r="A60" s="51" t="str">
        <f>HYPERLINK("http://ct.wwsires.com/bull/7HO12600","MODESTY")</f>
        <v>MODESTY</v>
      </c>
      <c r="B60" t="s">
        <v>109</v>
      </c>
      <c r="C60" t="s">
        <v>110</v>
      </c>
      <c r="D60">
        <v>2827</v>
      </c>
      <c r="E60">
        <v>1744</v>
      </c>
      <c r="F60">
        <v>87</v>
      </c>
      <c r="G60" s="261">
        <v>0.08</v>
      </c>
      <c r="H60">
        <v>59</v>
      </c>
      <c r="I60" s="261">
        <v>0.02</v>
      </c>
      <c r="J60" s="261">
        <v>1.92</v>
      </c>
      <c r="K60" s="261">
        <v>2.57</v>
      </c>
      <c r="L60" s="263">
        <v>8.6</v>
      </c>
      <c r="M60" s="252">
        <v>209</v>
      </c>
      <c r="N60" s="261">
        <v>3.06</v>
      </c>
      <c r="O60" s="263">
        <v>3.1</v>
      </c>
      <c r="P60" s="263">
        <v>3.2</v>
      </c>
      <c r="Q60" s="263">
        <v>5.5</v>
      </c>
    </row>
    <row r="61" spans="1:17" ht="12.75">
      <c r="A61" s="52" t="str">
        <f>HYPERLINK("http://ct.wwsires.com/bull/7HO13741","FOLKLORE")</f>
        <v>FOLKLORE</v>
      </c>
      <c r="B61" t="s">
        <v>111</v>
      </c>
      <c r="C61" t="s">
        <v>112</v>
      </c>
      <c r="D61">
        <v>2870</v>
      </c>
      <c r="E61">
        <v>1660</v>
      </c>
      <c r="F61">
        <v>79</v>
      </c>
      <c r="G61" s="261">
        <v>0.06</v>
      </c>
      <c r="H61">
        <v>62</v>
      </c>
      <c r="I61" s="261">
        <v>0.04</v>
      </c>
      <c r="J61" s="261">
        <v>2.18</v>
      </c>
      <c r="K61" s="261">
        <v>2.51</v>
      </c>
      <c r="L61" s="263">
        <v>9.1</v>
      </c>
      <c r="M61" s="252">
        <v>209</v>
      </c>
      <c r="N61" s="261">
        <v>2.9</v>
      </c>
      <c r="O61" s="263">
        <v>3.7</v>
      </c>
      <c r="P61" s="263">
        <v>3.9</v>
      </c>
      <c r="Q61" s="263">
        <v>4.8</v>
      </c>
    </row>
    <row r="62" spans="1:17" ht="12.75">
      <c r="A62" s="53" t="str">
        <f>HYPERLINK("http://ct.wwsires.com/bull/7HO12602","HANG-TIME")</f>
        <v>HANG-TIME</v>
      </c>
      <c r="B62" t="s">
        <v>113</v>
      </c>
      <c r="C62" t="s">
        <v>114</v>
      </c>
      <c r="D62">
        <v>2754</v>
      </c>
      <c r="E62">
        <v>1381</v>
      </c>
      <c r="F62">
        <v>81</v>
      </c>
      <c r="G62" s="261">
        <v>0.11</v>
      </c>
      <c r="H62">
        <v>62</v>
      </c>
      <c r="I62" s="261">
        <v>0.07</v>
      </c>
      <c r="J62" s="261">
        <v>2.34</v>
      </c>
      <c r="K62" s="261">
        <v>2.66</v>
      </c>
      <c r="L62" s="263">
        <v>7.1</v>
      </c>
      <c r="M62" s="252">
        <v>208</v>
      </c>
      <c r="N62" s="261">
        <v>2.94</v>
      </c>
      <c r="O62" s="263">
        <v>3.5</v>
      </c>
      <c r="P62" s="263">
        <v>3.6</v>
      </c>
      <c r="Q62" s="263">
        <v>6.6</v>
      </c>
    </row>
    <row r="63" spans="1:17" ht="12.75">
      <c r="A63" s="54" t="str">
        <f>HYPERLINK("http://ct.wwsires.com/bull/507HO12941","REASON")</f>
        <v>REASON</v>
      </c>
      <c r="B63" t="s">
        <v>115</v>
      </c>
      <c r="C63" t="s">
        <v>116</v>
      </c>
      <c r="D63">
        <v>2826</v>
      </c>
      <c r="E63">
        <v>2130</v>
      </c>
      <c r="F63">
        <v>80</v>
      </c>
      <c r="G63" s="261">
        <v>0</v>
      </c>
      <c r="H63">
        <v>77</v>
      </c>
      <c r="I63" s="261">
        <v>0.05</v>
      </c>
      <c r="J63" s="261">
        <v>1.5699999999999998</v>
      </c>
      <c r="K63" s="261">
        <v>1.3</v>
      </c>
      <c r="L63" s="263">
        <v>9.7</v>
      </c>
      <c r="M63" s="252">
        <v>208</v>
      </c>
      <c r="N63" s="261">
        <v>2.67</v>
      </c>
      <c r="O63" s="263">
        <v>3.2</v>
      </c>
      <c r="P63" s="263">
        <v>3.3</v>
      </c>
      <c r="Q63" s="263">
        <v>7.9</v>
      </c>
    </row>
    <row r="64" spans="1:17" ht="12.75">
      <c r="A64" s="55" t="str">
        <f>HYPERLINK("http://ct.wwsires.com/bull/7HO13928","ELI")</f>
        <v>ELI</v>
      </c>
      <c r="B64" t="s">
        <v>117</v>
      </c>
      <c r="C64" t="s">
        <v>118</v>
      </c>
      <c r="D64">
        <v>2750</v>
      </c>
      <c r="E64">
        <v>1937</v>
      </c>
      <c r="F64">
        <v>82</v>
      </c>
      <c r="G64" s="261">
        <v>0.04</v>
      </c>
      <c r="H64">
        <v>74</v>
      </c>
      <c r="I64" s="261">
        <v>0.06</v>
      </c>
      <c r="J64" s="261">
        <v>1.95</v>
      </c>
      <c r="K64" s="261">
        <v>1.85</v>
      </c>
      <c r="L64" s="263">
        <v>7.3</v>
      </c>
      <c r="M64" s="252">
        <v>206</v>
      </c>
      <c r="N64" s="261">
        <v>3.03</v>
      </c>
      <c r="O64" s="263">
        <v>2.7</v>
      </c>
      <c r="P64" s="263">
        <v>2.4</v>
      </c>
      <c r="Q64" s="263">
        <v>7.1</v>
      </c>
    </row>
    <row r="65" spans="1:17" ht="12.75">
      <c r="A65" s="56" t="str">
        <f>HYPERLINK("http://ct.wwsires.com/bull/7HO12945","FIRST")</f>
        <v>FIRST</v>
      </c>
      <c r="B65" t="s">
        <v>119</v>
      </c>
      <c r="C65" t="s">
        <v>120</v>
      </c>
      <c r="D65">
        <v>2840</v>
      </c>
      <c r="E65">
        <v>2078</v>
      </c>
      <c r="F65">
        <v>84</v>
      </c>
      <c r="G65" s="261">
        <v>0.02</v>
      </c>
      <c r="H65">
        <v>68</v>
      </c>
      <c r="I65" s="261">
        <v>0.02</v>
      </c>
      <c r="J65" s="261">
        <v>2.32</v>
      </c>
      <c r="K65" s="261">
        <v>2.4699999999999998</v>
      </c>
      <c r="L65" s="263">
        <v>8.1</v>
      </c>
      <c r="M65" s="252">
        <v>205</v>
      </c>
      <c r="N65" s="261">
        <v>3.08</v>
      </c>
      <c r="O65" s="263">
        <v>3.2</v>
      </c>
      <c r="P65" s="263">
        <v>3.3</v>
      </c>
      <c r="Q65" s="263">
        <v>6.7</v>
      </c>
    </row>
    <row r="66" spans="1:17" ht="12.75">
      <c r="A66" s="57" t="str">
        <f>HYPERLINK("http://ct.wwsires.com/bull/14HO07770","HELIX")</f>
        <v>HELIX</v>
      </c>
      <c r="B66" t="s">
        <v>121</v>
      </c>
      <c r="C66" t="s">
        <v>51</v>
      </c>
      <c r="D66">
        <v>2671</v>
      </c>
      <c r="E66">
        <v>1479</v>
      </c>
      <c r="F66">
        <v>98</v>
      </c>
      <c r="G66" s="261">
        <v>0.16</v>
      </c>
      <c r="H66">
        <v>59</v>
      </c>
      <c r="I66" s="261">
        <v>0.05</v>
      </c>
      <c r="J66" s="261">
        <v>2.05</v>
      </c>
      <c r="K66" s="261">
        <v>2.26</v>
      </c>
      <c r="L66" s="263">
        <v>5.8</v>
      </c>
      <c r="M66" s="252">
        <v>204</v>
      </c>
      <c r="N66" s="261">
        <v>2.9699999999999998</v>
      </c>
      <c r="O66" s="263">
        <v>1.3</v>
      </c>
      <c r="P66" s="263">
        <v>1.2</v>
      </c>
      <c r="Q66" s="263">
        <v>8.3</v>
      </c>
    </row>
    <row r="67" spans="1:17" ht="12.75">
      <c r="A67" s="58" t="str">
        <f>HYPERLINK("http://ct.wwsires.com/bull/507HO13981","FREEBORN")</f>
        <v>FREEBORN</v>
      </c>
      <c r="B67" t="s">
        <v>122</v>
      </c>
      <c r="C67" t="s">
        <v>123</v>
      </c>
      <c r="D67">
        <v>2849</v>
      </c>
      <c r="E67">
        <v>1267</v>
      </c>
      <c r="F67">
        <v>85</v>
      </c>
      <c r="G67" s="261">
        <v>0.14</v>
      </c>
      <c r="H67">
        <v>62</v>
      </c>
      <c r="I67" s="261">
        <v>0.09</v>
      </c>
      <c r="J67" s="261">
        <v>1.96</v>
      </c>
      <c r="K67" s="261">
        <v>2.29</v>
      </c>
      <c r="L67" s="263">
        <v>9.9</v>
      </c>
      <c r="M67" s="252">
        <v>203</v>
      </c>
      <c r="N67" s="261">
        <v>2.57</v>
      </c>
      <c r="O67" s="263">
        <v>3.3</v>
      </c>
      <c r="P67" s="263">
        <v>2.8</v>
      </c>
      <c r="Q67" s="263">
        <v>9.4</v>
      </c>
    </row>
    <row r="68" spans="1:17" ht="12.75">
      <c r="A68" s="59" t="str">
        <f>HYPERLINK("http://ct.wwsires.com/bull/7HO12819","OUTSIDERS")</f>
        <v>OUTSIDERS</v>
      </c>
      <c r="B68" t="s">
        <v>124</v>
      </c>
      <c r="C68" t="s">
        <v>125</v>
      </c>
      <c r="D68">
        <v>2747</v>
      </c>
      <c r="E68">
        <v>1864</v>
      </c>
      <c r="F68">
        <v>100</v>
      </c>
      <c r="G68" s="261">
        <v>0.11</v>
      </c>
      <c r="H68">
        <v>60</v>
      </c>
      <c r="I68" s="261">
        <v>0.02</v>
      </c>
      <c r="J68" s="261">
        <v>1.51</v>
      </c>
      <c r="K68" s="261">
        <v>1.6400000000000001</v>
      </c>
      <c r="L68" s="263">
        <v>7.1</v>
      </c>
      <c r="M68" s="252">
        <v>203</v>
      </c>
      <c r="N68" s="261">
        <v>2.89</v>
      </c>
      <c r="O68" s="263">
        <v>2.6</v>
      </c>
      <c r="P68" s="263">
        <v>2.5</v>
      </c>
      <c r="Q68" s="263">
        <v>5.6</v>
      </c>
    </row>
    <row r="69" spans="1:17" ht="12.75">
      <c r="A69" s="60" t="str">
        <f>HYPERLINK("http://ct.wwsires.com/bull/14HO13707","MEGA LUCK")</f>
        <v>MEGA LUCK</v>
      </c>
      <c r="B69" t="s">
        <v>126</v>
      </c>
      <c r="C69" t="s">
        <v>127</v>
      </c>
      <c r="D69">
        <v>2796</v>
      </c>
      <c r="E69">
        <v>2052</v>
      </c>
      <c r="F69">
        <v>80</v>
      </c>
      <c r="G69" s="261">
        <v>0.01</v>
      </c>
      <c r="H69">
        <v>76</v>
      </c>
      <c r="I69" s="261">
        <v>0.06</v>
      </c>
      <c r="J69" s="261">
        <v>2.48</v>
      </c>
      <c r="K69" s="261">
        <v>1.8199999999999998</v>
      </c>
      <c r="L69" s="263">
        <v>7.8</v>
      </c>
      <c r="M69" s="252">
        <v>203</v>
      </c>
      <c r="N69" s="261">
        <v>3.02</v>
      </c>
      <c r="O69" s="263">
        <v>2.7</v>
      </c>
      <c r="P69" s="263">
        <v>2.5</v>
      </c>
      <c r="Q69" s="263">
        <v>7.9</v>
      </c>
    </row>
    <row r="70" spans="1:17" ht="12.75">
      <c r="A70" s="61" t="str">
        <f>HYPERLINK("http://ct.wwsires.com/bull/507HO13598","PINNACLE")</f>
        <v>PINNACLE</v>
      </c>
      <c r="B70" t="s">
        <v>128</v>
      </c>
      <c r="C70" t="s">
        <v>129</v>
      </c>
      <c r="D70">
        <v>2888</v>
      </c>
      <c r="E70">
        <v>2227</v>
      </c>
      <c r="F70">
        <v>79</v>
      </c>
      <c r="G70" s="261">
        <v>-0.02</v>
      </c>
      <c r="H70">
        <v>70</v>
      </c>
      <c r="I70" s="261">
        <v>0.01</v>
      </c>
      <c r="J70" s="261">
        <v>2.4</v>
      </c>
      <c r="K70" s="261">
        <v>2.4699999999999998</v>
      </c>
      <c r="L70" s="263">
        <v>10</v>
      </c>
      <c r="M70" s="252">
        <v>202</v>
      </c>
      <c r="N70" s="261">
        <v>2.95</v>
      </c>
      <c r="O70" s="263">
        <v>2.9</v>
      </c>
      <c r="P70" s="263">
        <v>3.2</v>
      </c>
      <c r="Q70" s="263">
        <v>6.7</v>
      </c>
    </row>
    <row r="71" spans="1:17" ht="12.75">
      <c r="A71" s="62" t="str">
        <f>HYPERLINK("http://ct.wwsires.com/bull/14HO07901","LIFEGUARD")</f>
        <v>LIFEGUARD</v>
      </c>
      <c r="B71" t="s">
        <v>130</v>
      </c>
      <c r="C71" t="s">
        <v>131</v>
      </c>
      <c r="D71">
        <v>2679</v>
      </c>
      <c r="E71">
        <v>911</v>
      </c>
      <c r="F71">
        <v>92</v>
      </c>
      <c r="G71" s="261">
        <v>0.21</v>
      </c>
      <c r="H71">
        <v>48</v>
      </c>
      <c r="I71" s="261">
        <v>0.07</v>
      </c>
      <c r="J71" s="261">
        <v>1.67</v>
      </c>
      <c r="K71" s="261">
        <v>1.8599999999999999</v>
      </c>
      <c r="L71" s="263">
        <v>7.3</v>
      </c>
      <c r="M71" s="252">
        <v>202</v>
      </c>
      <c r="N71" s="261">
        <v>2.79</v>
      </c>
      <c r="O71" s="263">
        <v>2</v>
      </c>
      <c r="P71" s="263">
        <v>1.8</v>
      </c>
      <c r="Q71" s="263">
        <v>7.3</v>
      </c>
    </row>
    <row r="72" spans="1:17" ht="12.75">
      <c r="A72" s="63" t="str">
        <f>HYPERLINK("http://ct.wwsires.com/bull/7HO13832","MAXWELL-P")</f>
        <v>MAXWELL-P</v>
      </c>
      <c r="B72" t="s">
        <v>132</v>
      </c>
      <c r="C72" t="s">
        <v>133</v>
      </c>
      <c r="D72">
        <v>2724</v>
      </c>
      <c r="E72">
        <v>1873</v>
      </c>
      <c r="F72">
        <v>81</v>
      </c>
      <c r="G72" s="261">
        <v>0.04</v>
      </c>
      <c r="H72">
        <v>73</v>
      </c>
      <c r="I72" s="261">
        <v>0.06</v>
      </c>
      <c r="J72" s="261">
        <v>1.83</v>
      </c>
      <c r="K72" s="261">
        <v>1.98</v>
      </c>
      <c r="L72" s="263">
        <v>7.2</v>
      </c>
      <c r="M72" s="252">
        <v>201</v>
      </c>
      <c r="N72" s="261">
        <v>2.89</v>
      </c>
      <c r="O72" s="263">
        <v>1.7</v>
      </c>
      <c r="P72" s="263">
        <v>1.4</v>
      </c>
      <c r="Q72" s="263">
        <v>7.3</v>
      </c>
    </row>
    <row r="73" spans="1:17" ht="12.75">
      <c r="A73" s="64" t="str">
        <f>HYPERLINK("http://ct.wwsires.com/bull/14HO07454","GRUNT")</f>
        <v>GRUNT</v>
      </c>
      <c r="B73" t="s">
        <v>134</v>
      </c>
      <c r="C73" t="s">
        <v>135</v>
      </c>
      <c r="D73">
        <v>2435</v>
      </c>
      <c r="E73">
        <v>1389</v>
      </c>
      <c r="F73">
        <v>89</v>
      </c>
      <c r="G73" s="261">
        <v>0.13</v>
      </c>
      <c r="H73">
        <v>57</v>
      </c>
      <c r="I73" s="261">
        <v>0.05</v>
      </c>
      <c r="J73" s="261">
        <v>0.88</v>
      </c>
      <c r="K73" s="261">
        <v>0.8</v>
      </c>
      <c r="L73" s="263">
        <v>3.7</v>
      </c>
      <c r="M73" s="252">
        <v>200</v>
      </c>
      <c r="N73" s="261">
        <v>2.84</v>
      </c>
      <c r="O73" s="263">
        <v>0.5</v>
      </c>
      <c r="P73" s="263">
        <v>-0.1</v>
      </c>
      <c r="Q73" s="263">
        <v>7.2</v>
      </c>
    </row>
    <row r="74" spans="1:17" ht="12.75">
      <c r="A74" s="65" t="str">
        <f>HYPERLINK("http://ct.wwsires.com/bull/7HO13250","JEDI")</f>
        <v>JEDI</v>
      </c>
      <c r="B74" t="s">
        <v>136</v>
      </c>
      <c r="C74" t="s">
        <v>137</v>
      </c>
      <c r="D74">
        <v>2810</v>
      </c>
      <c r="E74">
        <v>2582</v>
      </c>
      <c r="F74">
        <v>70</v>
      </c>
      <c r="G74" s="261">
        <v>-0.09</v>
      </c>
      <c r="H74">
        <v>87</v>
      </c>
      <c r="I74" s="261">
        <v>0.03</v>
      </c>
      <c r="J74" s="261">
        <v>1.95</v>
      </c>
      <c r="K74" s="261">
        <v>1.69</v>
      </c>
      <c r="L74" s="263">
        <v>8.6</v>
      </c>
      <c r="M74" s="252">
        <v>199</v>
      </c>
      <c r="N74" s="261">
        <v>2.9699999999999998</v>
      </c>
      <c r="O74" s="263">
        <v>3.4</v>
      </c>
      <c r="P74" s="263">
        <v>3.3</v>
      </c>
      <c r="Q74" s="263">
        <v>7.7</v>
      </c>
    </row>
    <row r="75" spans="1:17" ht="12.75">
      <c r="A75" s="66" t="str">
        <f>HYPERLINK("http://ct.wwsires.com/bull/14HO07823","CROWNE")</f>
        <v>CROWNE</v>
      </c>
      <c r="B75" t="s">
        <v>138</v>
      </c>
      <c r="C75" t="s">
        <v>139</v>
      </c>
      <c r="D75">
        <v>2717</v>
      </c>
      <c r="E75">
        <v>2165</v>
      </c>
      <c r="F75">
        <v>80</v>
      </c>
      <c r="G75" s="261">
        <v>0</v>
      </c>
      <c r="H75">
        <v>74</v>
      </c>
      <c r="I75" s="261">
        <v>0.03</v>
      </c>
      <c r="J75" s="261">
        <v>1.5699999999999998</v>
      </c>
      <c r="K75" s="261">
        <v>2.19</v>
      </c>
      <c r="L75" s="263">
        <v>7.2</v>
      </c>
      <c r="M75" s="252">
        <v>199</v>
      </c>
      <c r="N75" s="261">
        <v>2.94</v>
      </c>
      <c r="O75" s="263">
        <v>2.2</v>
      </c>
      <c r="P75" s="263">
        <v>2.1</v>
      </c>
      <c r="Q75" s="263">
        <v>6.9</v>
      </c>
    </row>
    <row r="76" spans="1:17" ht="12.75">
      <c r="A76" s="67" t="str">
        <f>HYPERLINK("http://ct.wwsires.com/bull/7HO13716","VICTORY")</f>
        <v>VICTORY</v>
      </c>
      <c r="B76" t="s">
        <v>140</v>
      </c>
      <c r="C76" t="s">
        <v>141</v>
      </c>
      <c r="D76">
        <v>2759</v>
      </c>
      <c r="E76">
        <v>1803</v>
      </c>
      <c r="F76">
        <v>84</v>
      </c>
      <c r="G76" s="261">
        <v>0.06</v>
      </c>
      <c r="H76">
        <v>62</v>
      </c>
      <c r="I76" s="261">
        <v>0.03</v>
      </c>
      <c r="J76" s="261">
        <v>1.96</v>
      </c>
      <c r="K76" s="261">
        <v>1.71</v>
      </c>
      <c r="L76" s="263">
        <v>8</v>
      </c>
      <c r="M76" s="252">
        <v>198</v>
      </c>
      <c r="N76" s="261">
        <v>3.01</v>
      </c>
      <c r="O76" s="263">
        <v>3.7</v>
      </c>
      <c r="P76" s="263">
        <v>3.7</v>
      </c>
      <c r="Q76" s="263">
        <v>5.1</v>
      </c>
    </row>
    <row r="77" spans="1:17" ht="12.75">
      <c r="A77" s="68" t="str">
        <f>HYPERLINK("http://ct.wwsires.com/bull/7HO13647","BIGHIT P")</f>
        <v>BIGHIT P</v>
      </c>
      <c r="B77" t="s">
        <v>142</v>
      </c>
      <c r="C77" t="s">
        <v>143</v>
      </c>
      <c r="D77">
        <v>2746</v>
      </c>
      <c r="E77">
        <v>1955</v>
      </c>
      <c r="F77">
        <v>88</v>
      </c>
      <c r="G77" s="261">
        <v>0.06</v>
      </c>
      <c r="H77">
        <v>68</v>
      </c>
      <c r="I77" s="261">
        <v>0.03</v>
      </c>
      <c r="J77" s="261">
        <v>2.23</v>
      </c>
      <c r="K77" s="261">
        <v>1.87</v>
      </c>
      <c r="L77" s="263">
        <v>6.9</v>
      </c>
      <c r="M77" s="252">
        <v>198</v>
      </c>
      <c r="N77" s="261">
        <v>3.06</v>
      </c>
      <c r="O77" s="263">
        <v>2.9</v>
      </c>
      <c r="P77" s="263">
        <v>2.6</v>
      </c>
      <c r="Q77" s="263">
        <v>8.1</v>
      </c>
    </row>
    <row r="78" spans="1:17" ht="12.75">
      <c r="A78" s="69" t="str">
        <f>HYPERLINK("http://ct.wwsires.com/bull/7HO13827","HARVARD")</f>
        <v>HARVARD</v>
      </c>
      <c r="B78" t="s">
        <v>144</v>
      </c>
      <c r="C78" t="s">
        <v>34</v>
      </c>
      <c r="D78">
        <v>2720</v>
      </c>
      <c r="E78">
        <v>1076</v>
      </c>
      <c r="F78">
        <v>87</v>
      </c>
      <c r="G78" s="261">
        <v>0.17</v>
      </c>
      <c r="H78">
        <v>49</v>
      </c>
      <c r="I78" s="261">
        <v>0.06</v>
      </c>
      <c r="J78" s="261">
        <v>1.46</v>
      </c>
      <c r="K78" s="261">
        <v>1.58</v>
      </c>
      <c r="L78" s="263">
        <v>9</v>
      </c>
      <c r="M78" s="252">
        <v>197</v>
      </c>
      <c r="N78" s="261">
        <v>2.7800000000000002</v>
      </c>
      <c r="O78" s="263">
        <v>3.7</v>
      </c>
      <c r="P78" s="263">
        <v>3.4</v>
      </c>
      <c r="Q78" s="263">
        <v>5.8</v>
      </c>
    </row>
    <row r="79" spans="1:17" ht="12.75">
      <c r="A79" s="70" t="str">
        <f>HYPERLINK("http://ct.wwsires.com/bull/7HO12984","FOUL")</f>
        <v>FOUL</v>
      </c>
      <c r="B79" t="s">
        <v>145</v>
      </c>
      <c r="C79" t="s">
        <v>146</v>
      </c>
      <c r="D79">
        <v>2789</v>
      </c>
      <c r="E79">
        <v>2195</v>
      </c>
      <c r="F79">
        <v>74</v>
      </c>
      <c r="G79" s="261">
        <v>-0.03</v>
      </c>
      <c r="H79">
        <v>80</v>
      </c>
      <c r="I79" s="261">
        <v>0.05</v>
      </c>
      <c r="J79" s="261">
        <v>2.11</v>
      </c>
      <c r="K79" s="261">
        <v>1.99</v>
      </c>
      <c r="L79" s="263">
        <v>8.4</v>
      </c>
      <c r="M79" s="252">
        <v>197</v>
      </c>
      <c r="N79" s="261">
        <v>2.82</v>
      </c>
      <c r="O79" s="263">
        <v>1.9</v>
      </c>
      <c r="P79" s="263">
        <v>1.7</v>
      </c>
      <c r="Q79" s="263">
        <v>6.6</v>
      </c>
    </row>
    <row r="80" spans="1:17" ht="12.75">
      <c r="A80" s="71" t="str">
        <f>HYPERLINK("http://ct.wwsires.com/bull/7HO13251","JETT")</f>
        <v>JETT</v>
      </c>
      <c r="B80" t="s">
        <v>147</v>
      </c>
      <c r="C80" t="s">
        <v>137</v>
      </c>
      <c r="D80">
        <v>2742</v>
      </c>
      <c r="E80">
        <v>2333</v>
      </c>
      <c r="F80">
        <v>78</v>
      </c>
      <c r="G80" s="261">
        <v>-0.03</v>
      </c>
      <c r="H80">
        <v>75</v>
      </c>
      <c r="I80" s="261">
        <v>0.01</v>
      </c>
      <c r="J80" s="261">
        <v>1.98</v>
      </c>
      <c r="K80" s="261">
        <v>1.83</v>
      </c>
      <c r="L80" s="263">
        <v>6.8</v>
      </c>
      <c r="M80" s="252">
        <v>197</v>
      </c>
      <c r="N80" s="261">
        <v>2.96</v>
      </c>
      <c r="O80" s="263">
        <v>2.9</v>
      </c>
      <c r="P80" s="263">
        <v>2.7</v>
      </c>
      <c r="Q80" s="263">
        <v>7.3</v>
      </c>
    </row>
    <row r="81" spans="1:17" ht="12.75">
      <c r="A81" s="72" t="str">
        <f>HYPERLINK("http://ct.wwsires.com/bull/14HO07662","PETRE")</f>
        <v>PETRE</v>
      </c>
      <c r="B81" t="s">
        <v>148</v>
      </c>
      <c r="C81" t="s">
        <v>149</v>
      </c>
      <c r="D81">
        <v>2690</v>
      </c>
      <c r="E81">
        <v>1486</v>
      </c>
      <c r="F81">
        <v>81</v>
      </c>
      <c r="G81" s="261">
        <v>0.1</v>
      </c>
      <c r="H81">
        <v>54</v>
      </c>
      <c r="I81" s="261">
        <v>0.03</v>
      </c>
      <c r="J81" s="261">
        <v>1.8900000000000001</v>
      </c>
      <c r="K81" s="261">
        <v>2.39</v>
      </c>
      <c r="L81" s="263">
        <v>5.9</v>
      </c>
      <c r="M81" s="252">
        <v>197</v>
      </c>
      <c r="N81" s="261">
        <v>3</v>
      </c>
      <c r="O81" s="263">
        <v>3.8</v>
      </c>
      <c r="P81" s="263">
        <v>3.8</v>
      </c>
      <c r="Q81" s="263">
        <v>7.7</v>
      </c>
    </row>
    <row r="82" spans="1:17" ht="12.75">
      <c r="A82" s="73" t="str">
        <f>HYPERLINK("http://ct.wwsires.com/bull/7HO13759","SAWYER*RC")</f>
        <v>SAWYER*RC</v>
      </c>
      <c r="B82" t="s">
        <v>150</v>
      </c>
      <c r="C82" t="s">
        <v>151</v>
      </c>
      <c r="D82">
        <v>2663</v>
      </c>
      <c r="E82">
        <v>2369</v>
      </c>
      <c r="F82">
        <v>75</v>
      </c>
      <c r="G82" s="261">
        <v>-0.05</v>
      </c>
      <c r="H82">
        <v>74</v>
      </c>
      <c r="I82" s="261">
        <v>0.01</v>
      </c>
      <c r="J82" s="261">
        <v>1.95</v>
      </c>
      <c r="K82" s="261">
        <v>2.04</v>
      </c>
      <c r="L82" s="263">
        <v>6.5</v>
      </c>
      <c r="M82" s="252">
        <v>196</v>
      </c>
      <c r="N82" s="261">
        <v>2.76</v>
      </c>
      <c r="O82" s="263">
        <v>0.2</v>
      </c>
      <c r="P82" s="263">
        <v>-0.2</v>
      </c>
      <c r="Q82" s="263">
        <v>7.1</v>
      </c>
    </row>
    <row r="83" spans="1:17" ht="12.75">
      <c r="A83" s="74" t="str">
        <f>HYPERLINK("http://ct.wwsires.com/bull/14HO07828","ACCELODIN")</f>
        <v>ACCELODIN</v>
      </c>
      <c r="B83" t="s">
        <v>152</v>
      </c>
      <c r="C83" t="s">
        <v>153</v>
      </c>
      <c r="D83">
        <v>2643</v>
      </c>
      <c r="E83">
        <v>994</v>
      </c>
      <c r="F83">
        <v>99</v>
      </c>
      <c r="G83" s="261">
        <v>0.23</v>
      </c>
      <c r="H83">
        <v>50</v>
      </c>
      <c r="I83" s="261">
        <v>0.07</v>
      </c>
      <c r="J83" s="261">
        <v>1.8199999999999998</v>
      </c>
      <c r="K83" s="261">
        <v>1.03</v>
      </c>
      <c r="L83" s="263">
        <v>6.2</v>
      </c>
      <c r="M83" s="252">
        <v>196</v>
      </c>
      <c r="N83" s="261">
        <v>2.77</v>
      </c>
      <c r="O83" s="263">
        <v>2.3</v>
      </c>
      <c r="P83" s="263">
        <v>2</v>
      </c>
      <c r="Q83" s="263">
        <v>6.2</v>
      </c>
    </row>
    <row r="84" spans="1:17" ht="12.75">
      <c r="A84" s="75" t="str">
        <f>HYPERLINK("http://ct.wwsires.com/bull/7HO12948","MR BIG")</f>
        <v>MR BIG</v>
      </c>
      <c r="B84" t="s">
        <v>154</v>
      </c>
      <c r="C84" t="s">
        <v>155</v>
      </c>
      <c r="D84">
        <v>2779</v>
      </c>
      <c r="E84">
        <v>1148</v>
      </c>
      <c r="F84">
        <v>98</v>
      </c>
      <c r="G84" s="261">
        <v>0.21</v>
      </c>
      <c r="H84">
        <v>48</v>
      </c>
      <c r="I84" s="261">
        <v>0.05</v>
      </c>
      <c r="J84" s="261">
        <v>2.56</v>
      </c>
      <c r="K84" s="261">
        <v>2.59</v>
      </c>
      <c r="L84" s="263">
        <v>6.8</v>
      </c>
      <c r="M84" s="252">
        <v>196</v>
      </c>
      <c r="N84" s="261">
        <v>2.99</v>
      </c>
      <c r="O84" s="263">
        <v>3.6</v>
      </c>
      <c r="P84" s="263">
        <v>3.4</v>
      </c>
      <c r="Q84" s="263">
        <v>6.8</v>
      </c>
    </row>
    <row r="85" spans="1:17" ht="12.75">
      <c r="A85" s="76" t="str">
        <f>HYPERLINK("http://ct.wwsires.com/bull/7HO13592","CAM")</f>
        <v>CAM</v>
      </c>
      <c r="B85" t="s">
        <v>156</v>
      </c>
      <c r="C85" t="s">
        <v>157</v>
      </c>
      <c r="D85">
        <v>2721</v>
      </c>
      <c r="E85">
        <v>2027</v>
      </c>
      <c r="F85">
        <v>77</v>
      </c>
      <c r="G85" s="261">
        <v>0.01</v>
      </c>
      <c r="H85">
        <v>69</v>
      </c>
      <c r="I85" s="261">
        <v>0.03</v>
      </c>
      <c r="J85" s="261">
        <v>1.54</v>
      </c>
      <c r="K85" s="261">
        <v>1.18</v>
      </c>
      <c r="L85" s="263">
        <v>7.9</v>
      </c>
      <c r="M85" s="252">
        <v>196</v>
      </c>
      <c r="N85" s="261">
        <v>2.93</v>
      </c>
      <c r="O85" s="263">
        <v>3.3</v>
      </c>
      <c r="P85" s="263">
        <v>3.1</v>
      </c>
      <c r="Q85" s="263">
        <v>6.7</v>
      </c>
    </row>
    <row r="86" spans="1:17" ht="12.75">
      <c r="A86" s="77" t="str">
        <f>HYPERLINK("http://ct.wwsires.com/bull/7HO11985","TETRIS")</f>
        <v>TETRIS</v>
      </c>
      <c r="B86" t="s">
        <v>158</v>
      </c>
      <c r="C86" t="s">
        <v>159</v>
      </c>
      <c r="D86">
        <v>2517</v>
      </c>
      <c r="E86">
        <v>1989</v>
      </c>
      <c r="F86">
        <v>87</v>
      </c>
      <c r="G86" s="261">
        <v>0.04</v>
      </c>
      <c r="H86">
        <v>62</v>
      </c>
      <c r="I86" s="261">
        <v>0.01</v>
      </c>
      <c r="J86" s="261">
        <v>0.75</v>
      </c>
      <c r="K86" s="261">
        <v>0.85</v>
      </c>
      <c r="L86" s="263">
        <v>6.8</v>
      </c>
      <c r="M86" s="252">
        <v>195</v>
      </c>
      <c r="N86" s="261">
        <v>2.81</v>
      </c>
      <c r="O86" s="263">
        <v>0.5</v>
      </c>
      <c r="P86" s="263">
        <v>-0.2</v>
      </c>
      <c r="Q86" s="263">
        <v>7.5</v>
      </c>
    </row>
    <row r="87" spans="1:17" ht="12.75">
      <c r="A87" s="78" t="str">
        <f>HYPERLINK("http://ct.wwsires.com/bull/7HO13714","JEB")</f>
        <v>JEB</v>
      </c>
      <c r="B87" t="s">
        <v>160</v>
      </c>
      <c r="C87" t="s">
        <v>161</v>
      </c>
      <c r="D87">
        <v>2840</v>
      </c>
      <c r="E87">
        <v>1548</v>
      </c>
      <c r="F87">
        <v>85</v>
      </c>
      <c r="G87" s="261">
        <v>0.1</v>
      </c>
      <c r="H87">
        <v>58</v>
      </c>
      <c r="I87" s="261">
        <v>0.04</v>
      </c>
      <c r="J87" s="261">
        <v>2.33</v>
      </c>
      <c r="K87" s="261">
        <v>2.54</v>
      </c>
      <c r="L87" s="263">
        <v>9</v>
      </c>
      <c r="M87" s="252">
        <v>195</v>
      </c>
      <c r="N87" s="261">
        <v>2.85</v>
      </c>
      <c r="O87" s="263">
        <v>3.8</v>
      </c>
      <c r="P87" s="263">
        <v>3.8</v>
      </c>
      <c r="Q87" s="263">
        <v>6.3</v>
      </c>
    </row>
    <row r="88" spans="1:17" ht="12.75">
      <c r="A88" s="79" t="str">
        <f>HYPERLINK("http://ct.wwsires.com/bull/7HO11836","MILES")</f>
        <v>MILES</v>
      </c>
      <c r="B88" t="s">
        <v>162</v>
      </c>
      <c r="C88" t="s">
        <v>163</v>
      </c>
      <c r="D88">
        <v>2446</v>
      </c>
      <c r="E88">
        <v>1006</v>
      </c>
      <c r="F88">
        <v>83</v>
      </c>
      <c r="G88" s="261">
        <v>0.16</v>
      </c>
      <c r="H88">
        <v>46</v>
      </c>
      <c r="I88" s="261">
        <v>0.06</v>
      </c>
      <c r="J88" s="261">
        <v>1.15</v>
      </c>
      <c r="K88" s="261">
        <v>1.3900000000000001</v>
      </c>
      <c r="L88" s="263">
        <v>3.8</v>
      </c>
      <c r="M88" s="252">
        <v>195</v>
      </c>
      <c r="N88" s="261">
        <v>2.98</v>
      </c>
      <c r="O88" s="263">
        <v>0.6</v>
      </c>
      <c r="P88" s="263">
        <v>0.5</v>
      </c>
      <c r="Q88" s="263">
        <v>7.9</v>
      </c>
    </row>
    <row r="89" spans="1:17" ht="12.75">
      <c r="A89" s="80" t="str">
        <f>HYPERLINK("http://ct.wwsires.com/bull/7HO12320","SAM")</f>
        <v>SAM</v>
      </c>
      <c r="B89" t="s">
        <v>164</v>
      </c>
      <c r="C89" t="s">
        <v>165</v>
      </c>
      <c r="D89">
        <v>2391</v>
      </c>
      <c r="E89">
        <v>1584</v>
      </c>
      <c r="F89">
        <v>70</v>
      </c>
      <c r="G89" s="261">
        <v>0.04</v>
      </c>
      <c r="H89">
        <v>67</v>
      </c>
      <c r="I89" s="261">
        <v>0.07</v>
      </c>
      <c r="J89" s="261">
        <v>1.35</v>
      </c>
      <c r="K89" s="261">
        <v>0.32</v>
      </c>
      <c r="L89" s="263">
        <v>2.9</v>
      </c>
      <c r="M89" s="252">
        <v>195</v>
      </c>
      <c r="N89" s="261">
        <v>3.15</v>
      </c>
      <c r="O89" s="263">
        <v>1.3</v>
      </c>
      <c r="P89" s="263">
        <v>1.1</v>
      </c>
      <c r="Q89" s="263">
        <v>6.9</v>
      </c>
    </row>
    <row r="90" spans="1:17" ht="12.75">
      <c r="A90" s="81" t="str">
        <f>HYPERLINK("http://ct.wwsires.com/bull/250HO13736","HARDROCK")</f>
        <v>HARDROCK</v>
      </c>
      <c r="B90" t="s">
        <v>166</v>
      </c>
      <c r="C90" t="s">
        <v>167</v>
      </c>
      <c r="D90">
        <v>2815</v>
      </c>
      <c r="E90">
        <v>2125</v>
      </c>
      <c r="F90">
        <v>90</v>
      </c>
      <c r="G90" s="261">
        <v>0.04</v>
      </c>
      <c r="H90">
        <v>60</v>
      </c>
      <c r="I90" s="261">
        <v>-0.01</v>
      </c>
      <c r="J90" s="261">
        <v>2.73</v>
      </c>
      <c r="K90" s="261">
        <v>2.35</v>
      </c>
      <c r="L90" s="263">
        <v>7</v>
      </c>
      <c r="M90" s="252">
        <v>194</v>
      </c>
      <c r="N90" s="261">
        <v>2.86</v>
      </c>
      <c r="O90" s="263">
        <v>2.8</v>
      </c>
      <c r="P90" s="263">
        <v>2.7</v>
      </c>
      <c r="Q90" s="263">
        <v>6.7</v>
      </c>
    </row>
    <row r="91" spans="1:17" ht="12.75">
      <c r="A91" s="82" t="str">
        <f>HYPERLINK("http://ct.wwsires.com/bull/7HO13497","DESIRE")</f>
        <v>DESIRE</v>
      </c>
      <c r="B91" t="s">
        <v>168</v>
      </c>
      <c r="C91" t="s">
        <v>169</v>
      </c>
      <c r="D91">
        <v>2479</v>
      </c>
      <c r="E91">
        <v>2285</v>
      </c>
      <c r="F91">
        <v>76</v>
      </c>
      <c r="G91" s="261">
        <v>-0.04</v>
      </c>
      <c r="H91">
        <v>70</v>
      </c>
      <c r="I91" s="261">
        <v>0.01</v>
      </c>
      <c r="J91" s="261">
        <v>1.48</v>
      </c>
      <c r="K91" s="261">
        <v>1.19</v>
      </c>
      <c r="L91" s="263">
        <v>6.5</v>
      </c>
      <c r="M91" s="252">
        <v>194</v>
      </c>
      <c r="N91" s="261">
        <v>2.9</v>
      </c>
      <c r="O91" s="263">
        <v>-0.6</v>
      </c>
      <c r="P91" s="263">
        <v>-1.3</v>
      </c>
      <c r="Q91" s="263">
        <v>8.2</v>
      </c>
    </row>
    <row r="92" spans="1:17" ht="12.75">
      <c r="A92" s="83" t="str">
        <f>HYPERLINK("http://ct.wwsires.com/bull/7HO12947","PARISON")</f>
        <v>PARISON</v>
      </c>
      <c r="B92" t="s">
        <v>170</v>
      </c>
      <c r="C92" t="s">
        <v>171</v>
      </c>
      <c r="D92">
        <v>2693</v>
      </c>
      <c r="E92">
        <v>2287</v>
      </c>
      <c r="F92">
        <v>71</v>
      </c>
      <c r="G92" s="261">
        <v>-0.05</v>
      </c>
      <c r="H92">
        <v>82</v>
      </c>
      <c r="I92" s="261">
        <v>0.05</v>
      </c>
      <c r="J92" s="261">
        <v>2.32</v>
      </c>
      <c r="K92" s="261">
        <v>1.65</v>
      </c>
      <c r="L92" s="263">
        <v>4.6</v>
      </c>
      <c r="M92" s="252">
        <v>194</v>
      </c>
      <c r="N92" s="261">
        <v>3.08</v>
      </c>
      <c r="O92" s="263">
        <v>2.8</v>
      </c>
      <c r="P92" s="263">
        <v>2.9</v>
      </c>
      <c r="Q92" s="263">
        <v>6.7</v>
      </c>
    </row>
    <row r="93" spans="1:17" ht="12.75">
      <c r="A93" s="84" t="str">
        <f>HYPERLINK("http://ct.wwsires.com/bull/7HO13922","KITE")</f>
        <v>KITE</v>
      </c>
      <c r="B93" t="s">
        <v>172</v>
      </c>
      <c r="C93" t="s">
        <v>173</v>
      </c>
      <c r="D93">
        <v>2807</v>
      </c>
      <c r="E93">
        <v>1839</v>
      </c>
      <c r="F93">
        <v>90</v>
      </c>
      <c r="G93" s="261">
        <v>0.08</v>
      </c>
      <c r="H93">
        <v>62</v>
      </c>
      <c r="I93" s="261">
        <v>0.03</v>
      </c>
      <c r="J93" s="261">
        <v>2.27</v>
      </c>
      <c r="K93" s="261">
        <v>2.42</v>
      </c>
      <c r="L93" s="263">
        <v>8.2</v>
      </c>
      <c r="M93" s="252">
        <v>194</v>
      </c>
      <c r="N93" s="261">
        <v>2.76</v>
      </c>
      <c r="O93" s="263">
        <v>2.6</v>
      </c>
      <c r="P93" s="263">
        <v>2.5</v>
      </c>
      <c r="Q93" s="263">
        <v>8.4</v>
      </c>
    </row>
    <row r="94" spans="1:17" ht="12.75">
      <c r="A94" s="85" t="str">
        <f>HYPERLINK("http://ct.wwsires.com/bull/14HO07328","MOOKIE")</f>
        <v>MOOKIE</v>
      </c>
      <c r="B94" t="s">
        <v>174</v>
      </c>
      <c r="C94" t="s">
        <v>175</v>
      </c>
      <c r="D94">
        <v>2605</v>
      </c>
      <c r="E94">
        <v>218</v>
      </c>
      <c r="F94">
        <v>108</v>
      </c>
      <c r="G94" s="261">
        <v>0.37</v>
      </c>
      <c r="H94">
        <v>30</v>
      </c>
      <c r="I94" s="261">
        <v>0.09</v>
      </c>
      <c r="J94" s="261">
        <v>1.73</v>
      </c>
      <c r="K94" s="261">
        <v>2.29</v>
      </c>
      <c r="L94" s="263">
        <v>5.7</v>
      </c>
      <c r="M94" s="252">
        <v>194</v>
      </c>
      <c r="N94" s="261">
        <v>2.9699999999999998</v>
      </c>
      <c r="O94" s="263">
        <v>2</v>
      </c>
      <c r="P94" s="263">
        <v>2.3</v>
      </c>
      <c r="Q94" s="263">
        <v>6.1</v>
      </c>
    </row>
    <row r="95" spans="1:17" ht="12.75">
      <c r="A95" s="86" t="str">
        <f>HYPERLINK("http://ct.wwsires.com/bull/7HO12954","ATLAS-RED")</f>
        <v>ATLAS-RED</v>
      </c>
      <c r="B95" t="s">
        <v>176</v>
      </c>
      <c r="C95" t="s">
        <v>177</v>
      </c>
      <c r="D95">
        <v>2446</v>
      </c>
      <c r="E95">
        <v>1498</v>
      </c>
      <c r="F95">
        <v>82</v>
      </c>
      <c r="G95" s="261">
        <v>0.1</v>
      </c>
      <c r="H95">
        <v>55</v>
      </c>
      <c r="I95" s="261">
        <v>0.04</v>
      </c>
      <c r="J95" s="261">
        <v>1.31</v>
      </c>
      <c r="K95" s="261">
        <v>1.24</v>
      </c>
      <c r="L95" s="263">
        <v>5.2</v>
      </c>
      <c r="M95" s="252">
        <v>193</v>
      </c>
      <c r="N95" s="261">
        <v>3.01</v>
      </c>
      <c r="O95" s="263">
        <v>0</v>
      </c>
      <c r="P95" s="263">
        <v>-0.2</v>
      </c>
      <c r="Q95" s="263">
        <v>6.8</v>
      </c>
    </row>
    <row r="96" spans="1:17" ht="12.75">
      <c r="A96" s="87" t="str">
        <f>HYPERLINK("http://ct.wwsires.com/bull/507HO13907","JARED")</f>
        <v>JARED</v>
      </c>
      <c r="B96" t="s">
        <v>178</v>
      </c>
      <c r="C96" t="s">
        <v>179</v>
      </c>
      <c r="D96">
        <v>2887</v>
      </c>
      <c r="E96">
        <v>1739</v>
      </c>
      <c r="F96">
        <v>84</v>
      </c>
      <c r="G96" s="261">
        <v>0.07</v>
      </c>
      <c r="H96">
        <v>65</v>
      </c>
      <c r="I96" s="261">
        <v>0.04</v>
      </c>
      <c r="J96" s="261">
        <v>2.03</v>
      </c>
      <c r="K96" s="261">
        <v>1.92</v>
      </c>
      <c r="L96" s="263">
        <v>9.6</v>
      </c>
      <c r="M96" s="252">
        <v>193</v>
      </c>
      <c r="N96" s="261">
        <v>2.7800000000000002</v>
      </c>
      <c r="O96" s="263">
        <v>4.9</v>
      </c>
      <c r="P96" s="263">
        <v>4.9</v>
      </c>
      <c r="Q96" s="263">
        <v>5.7</v>
      </c>
    </row>
    <row r="97" spans="1:17" ht="12.75">
      <c r="A97" s="88" t="str">
        <f>HYPERLINK("http://ct.wwsires.com/bull/7HO12998","THONMAKER")</f>
        <v>THONMAKER</v>
      </c>
      <c r="B97" t="s">
        <v>180</v>
      </c>
      <c r="C97" t="s">
        <v>181</v>
      </c>
      <c r="D97">
        <v>2832</v>
      </c>
      <c r="E97">
        <v>1624</v>
      </c>
      <c r="F97">
        <v>92</v>
      </c>
      <c r="G97" s="261">
        <v>0.11</v>
      </c>
      <c r="H97">
        <v>48</v>
      </c>
      <c r="I97" s="261">
        <v>0</v>
      </c>
      <c r="J97" s="261">
        <v>2.61</v>
      </c>
      <c r="K97" s="261">
        <v>2.66</v>
      </c>
      <c r="L97" s="263">
        <v>8.8</v>
      </c>
      <c r="M97" s="252">
        <v>193</v>
      </c>
      <c r="N97" s="261">
        <v>2.92</v>
      </c>
      <c r="O97" s="263">
        <v>3.6</v>
      </c>
      <c r="P97" s="263">
        <v>3.3</v>
      </c>
      <c r="Q97" s="263">
        <v>8.2</v>
      </c>
    </row>
    <row r="98" spans="1:17" ht="12.75">
      <c r="A98" s="89" t="str">
        <f>HYPERLINK("http://ct.wwsires.com/bull/7HO13680","RISEN STAR")</f>
        <v>RISEN STAR</v>
      </c>
      <c r="B98" t="s">
        <v>182</v>
      </c>
      <c r="C98" t="s">
        <v>183</v>
      </c>
      <c r="D98">
        <v>2798</v>
      </c>
      <c r="E98">
        <v>1710</v>
      </c>
      <c r="F98">
        <v>74</v>
      </c>
      <c r="G98" s="261">
        <v>0.04</v>
      </c>
      <c r="H98">
        <v>68</v>
      </c>
      <c r="I98" s="261">
        <v>0.06</v>
      </c>
      <c r="J98" s="261">
        <v>1.54</v>
      </c>
      <c r="K98" s="261">
        <v>1.78</v>
      </c>
      <c r="L98" s="263">
        <v>8.6</v>
      </c>
      <c r="M98" s="252">
        <v>192</v>
      </c>
      <c r="N98" s="261">
        <v>2.75</v>
      </c>
      <c r="O98" s="263">
        <v>3.5</v>
      </c>
      <c r="P98" s="263">
        <v>3.6</v>
      </c>
      <c r="Q98" s="263">
        <v>7</v>
      </c>
    </row>
    <row r="99" spans="1:17" ht="12.75">
      <c r="A99" s="90" t="str">
        <f>HYPERLINK("http://ct.wwsires.com/bull/507HO12983","CADET")</f>
        <v>CADET</v>
      </c>
      <c r="B99" t="s">
        <v>184</v>
      </c>
      <c r="C99" t="s">
        <v>185</v>
      </c>
      <c r="D99">
        <v>2779</v>
      </c>
      <c r="E99">
        <v>1675</v>
      </c>
      <c r="F99">
        <v>78</v>
      </c>
      <c r="G99" s="261">
        <v>0.06</v>
      </c>
      <c r="H99">
        <v>71</v>
      </c>
      <c r="I99" s="261">
        <v>0.07</v>
      </c>
      <c r="J99" s="261">
        <v>1.85</v>
      </c>
      <c r="K99" s="261">
        <v>1.9300000000000002</v>
      </c>
      <c r="L99" s="263">
        <v>6.8</v>
      </c>
      <c r="M99" s="252">
        <v>192</v>
      </c>
      <c r="N99" s="261">
        <v>2.79</v>
      </c>
      <c r="O99" s="263">
        <v>3.4</v>
      </c>
      <c r="P99" s="263">
        <v>3</v>
      </c>
      <c r="Q99" s="263">
        <v>8.3</v>
      </c>
    </row>
    <row r="100" spans="1:17" ht="12.75">
      <c r="A100" s="91" t="str">
        <f>HYPERLINK("http://ct.wwsires.com/bull/7HO12897","SAMURI")</f>
        <v>SAMURI</v>
      </c>
      <c r="B100" t="s">
        <v>186</v>
      </c>
      <c r="C100" t="s">
        <v>187</v>
      </c>
      <c r="D100">
        <v>2740</v>
      </c>
      <c r="E100">
        <v>1159</v>
      </c>
      <c r="F100">
        <v>88</v>
      </c>
      <c r="G100" s="261">
        <v>0.16</v>
      </c>
      <c r="H100">
        <v>56</v>
      </c>
      <c r="I100" s="261">
        <v>0.07</v>
      </c>
      <c r="J100" s="261">
        <v>1.5899999999999999</v>
      </c>
      <c r="K100" s="261">
        <v>1.92</v>
      </c>
      <c r="L100" s="263">
        <v>7.7</v>
      </c>
      <c r="M100" s="252">
        <v>192</v>
      </c>
      <c r="N100" s="261">
        <v>2.85</v>
      </c>
      <c r="O100" s="263">
        <v>4</v>
      </c>
      <c r="P100" s="263">
        <v>3.5</v>
      </c>
      <c r="Q100" s="263">
        <v>7.9</v>
      </c>
    </row>
    <row r="101" spans="1:17" ht="12.75">
      <c r="A101" s="92" t="str">
        <f>HYPERLINK("http://ct.wwsires.com/bull/7HO13333","CORNELL")</f>
        <v>CORNELL</v>
      </c>
      <c r="B101" t="s">
        <v>188</v>
      </c>
      <c r="C101" t="s">
        <v>189</v>
      </c>
      <c r="D101">
        <v>2662</v>
      </c>
      <c r="E101">
        <v>1407</v>
      </c>
      <c r="F101">
        <v>81</v>
      </c>
      <c r="G101" s="261">
        <v>0.1</v>
      </c>
      <c r="H101">
        <v>56</v>
      </c>
      <c r="I101" s="261">
        <v>0.05</v>
      </c>
      <c r="J101" s="261">
        <v>1.6400000000000001</v>
      </c>
      <c r="K101" s="261">
        <v>1.97</v>
      </c>
      <c r="L101" s="263">
        <v>8.1</v>
      </c>
      <c r="M101" s="252">
        <v>192</v>
      </c>
      <c r="N101" s="261">
        <v>2.98</v>
      </c>
      <c r="O101" s="263">
        <v>2.7</v>
      </c>
      <c r="P101" s="263">
        <v>2.3</v>
      </c>
      <c r="Q101" s="263">
        <v>6.8</v>
      </c>
    </row>
    <row r="102" spans="1:17" ht="12.75">
      <c r="A102" s="93" t="str">
        <f>HYPERLINK("http://ct.wwsires.com/bull/7HO14042","EMMITT-PP*RC")</f>
        <v>EMMITT-PP*RC</v>
      </c>
      <c r="B102" t="s">
        <v>190</v>
      </c>
      <c r="C102" t="s">
        <v>191</v>
      </c>
      <c r="D102">
        <v>2539</v>
      </c>
      <c r="E102">
        <v>1392</v>
      </c>
      <c r="F102">
        <v>73</v>
      </c>
      <c r="G102" s="261">
        <v>0.08</v>
      </c>
      <c r="H102">
        <v>59</v>
      </c>
      <c r="I102" s="261">
        <v>0.06</v>
      </c>
      <c r="J102" s="261">
        <v>1.69</v>
      </c>
      <c r="K102" s="261">
        <v>1.48</v>
      </c>
      <c r="L102" s="263">
        <v>6.3</v>
      </c>
      <c r="M102" s="252">
        <v>192</v>
      </c>
      <c r="N102" s="261">
        <v>2.7800000000000002</v>
      </c>
      <c r="O102" s="263">
        <v>0.6</v>
      </c>
      <c r="P102" s="263">
        <v>0</v>
      </c>
      <c r="Q102" s="263">
        <v>6.9</v>
      </c>
    </row>
    <row r="103" spans="1:17" ht="12.75">
      <c r="A103" s="94" t="str">
        <f>HYPERLINK("http://ct.wwsires.com/bull/14HO13748","VOLCANO")</f>
        <v>VOLCANO</v>
      </c>
      <c r="B103" t="s">
        <v>192</v>
      </c>
      <c r="C103" t="s">
        <v>193</v>
      </c>
      <c r="D103">
        <v>2722</v>
      </c>
      <c r="E103">
        <v>2048</v>
      </c>
      <c r="F103">
        <v>74</v>
      </c>
      <c r="G103" s="261">
        <v>-0.01</v>
      </c>
      <c r="H103">
        <v>73</v>
      </c>
      <c r="I103" s="261">
        <v>0.04</v>
      </c>
      <c r="J103" s="261">
        <v>2.19</v>
      </c>
      <c r="K103" s="261">
        <v>1.85</v>
      </c>
      <c r="L103" s="263">
        <v>7.3</v>
      </c>
      <c r="M103" s="252">
        <v>191</v>
      </c>
      <c r="N103" s="261">
        <v>2.93</v>
      </c>
      <c r="O103" s="263">
        <v>2.8</v>
      </c>
      <c r="P103" s="263">
        <v>2.8</v>
      </c>
      <c r="Q103" s="263">
        <v>7.3</v>
      </c>
    </row>
    <row r="104" spans="1:17" ht="12.75">
      <c r="A104" s="95" t="str">
        <f>HYPERLINK("http://ct.wwsires.com/bull/507HO12886","CANNON")</f>
        <v>CANNON</v>
      </c>
      <c r="B104" t="s">
        <v>194</v>
      </c>
      <c r="C104" t="s">
        <v>195</v>
      </c>
      <c r="D104">
        <v>2770</v>
      </c>
      <c r="E104">
        <v>1254</v>
      </c>
      <c r="F104">
        <v>94</v>
      </c>
      <c r="G104" s="261">
        <v>0.17</v>
      </c>
      <c r="H104">
        <v>47</v>
      </c>
      <c r="I104" s="261">
        <v>0.04</v>
      </c>
      <c r="J104" s="261">
        <v>2.13</v>
      </c>
      <c r="K104" s="261">
        <v>2.51</v>
      </c>
      <c r="L104" s="263">
        <v>7.6</v>
      </c>
      <c r="M104" s="252">
        <v>191</v>
      </c>
      <c r="N104" s="261">
        <v>2.79</v>
      </c>
      <c r="O104" s="263">
        <v>3.7</v>
      </c>
      <c r="P104" s="263">
        <v>3.3</v>
      </c>
      <c r="Q104" s="263">
        <v>9.6</v>
      </c>
    </row>
    <row r="105" spans="1:17" ht="12.75">
      <c r="A105" s="96" t="str">
        <f>HYPERLINK("http://ct.wwsires.com/bull/14HO12994","MATARO")</f>
        <v>MATARO</v>
      </c>
      <c r="B105" t="s">
        <v>196</v>
      </c>
      <c r="C105" t="s">
        <v>197</v>
      </c>
      <c r="D105">
        <v>2813</v>
      </c>
      <c r="E105">
        <v>874</v>
      </c>
      <c r="F105">
        <v>91</v>
      </c>
      <c r="G105" s="261">
        <v>0.21</v>
      </c>
      <c r="H105">
        <v>46</v>
      </c>
      <c r="I105" s="261">
        <v>0.07</v>
      </c>
      <c r="J105" s="261">
        <v>2.08</v>
      </c>
      <c r="K105" s="261">
        <v>2.63</v>
      </c>
      <c r="L105" s="263">
        <v>8.5</v>
      </c>
      <c r="M105" s="252">
        <v>191</v>
      </c>
      <c r="N105" s="261">
        <v>2.8</v>
      </c>
      <c r="O105" s="263">
        <v>3.3</v>
      </c>
      <c r="P105" s="263">
        <v>3.2</v>
      </c>
      <c r="Q105" s="263">
        <v>5.6</v>
      </c>
    </row>
    <row r="106" spans="1:17" ht="12.75">
      <c r="A106" s="97" t="str">
        <f>HYPERLINK("http://ct.wwsires.com/bull/14HO13976","SIR-ROZ")</f>
        <v>SIR-ROZ</v>
      </c>
      <c r="B106" t="s">
        <v>198</v>
      </c>
      <c r="C106" t="s">
        <v>199</v>
      </c>
      <c r="D106">
        <v>2806</v>
      </c>
      <c r="E106">
        <v>1276</v>
      </c>
      <c r="F106">
        <v>89</v>
      </c>
      <c r="G106" s="261">
        <v>0.15</v>
      </c>
      <c r="H106">
        <v>51</v>
      </c>
      <c r="I106" s="261">
        <v>0.05</v>
      </c>
      <c r="J106" s="261">
        <v>1.8</v>
      </c>
      <c r="K106" s="261">
        <v>2.17</v>
      </c>
      <c r="L106" s="263">
        <v>10.2</v>
      </c>
      <c r="M106" s="252">
        <v>191</v>
      </c>
      <c r="N106" s="261">
        <v>2.77</v>
      </c>
      <c r="O106" s="263">
        <v>3.8</v>
      </c>
      <c r="P106" s="263">
        <v>3.5</v>
      </c>
      <c r="Q106" s="263">
        <v>7.4</v>
      </c>
    </row>
    <row r="107" spans="1:17" ht="12.75">
      <c r="A107" s="98" t="str">
        <f>HYPERLINK("http://ct.wwsires.com/bull/7HO12928","DEANO")</f>
        <v>DEANO</v>
      </c>
      <c r="B107" t="s">
        <v>200</v>
      </c>
      <c r="C107" t="s">
        <v>201</v>
      </c>
      <c r="D107">
        <v>2705</v>
      </c>
      <c r="E107">
        <v>1960</v>
      </c>
      <c r="F107">
        <v>86</v>
      </c>
      <c r="G107" s="261">
        <v>0.05</v>
      </c>
      <c r="H107">
        <v>62</v>
      </c>
      <c r="I107" s="261">
        <v>0.01</v>
      </c>
      <c r="J107" s="261">
        <v>2.31</v>
      </c>
      <c r="K107" s="261">
        <v>1.83</v>
      </c>
      <c r="L107" s="263">
        <v>7.2</v>
      </c>
      <c r="M107" s="252">
        <v>190</v>
      </c>
      <c r="N107" s="261">
        <v>2.86</v>
      </c>
      <c r="O107" s="263">
        <v>2.1</v>
      </c>
      <c r="P107" s="263">
        <v>2.2</v>
      </c>
      <c r="Q107" s="263">
        <v>7.5</v>
      </c>
    </row>
    <row r="108" spans="1:17" ht="12.75">
      <c r="A108" s="99" t="str">
        <f>HYPERLINK("http://ct.wwsires.com/bull/507HO12940","BUBBA")</f>
        <v>BUBBA</v>
      </c>
      <c r="B108" t="s">
        <v>202</v>
      </c>
      <c r="C108" t="s">
        <v>30</v>
      </c>
      <c r="D108">
        <v>2851</v>
      </c>
      <c r="E108">
        <v>1829</v>
      </c>
      <c r="F108">
        <v>65</v>
      </c>
      <c r="G108" s="261">
        <v>-0.01</v>
      </c>
      <c r="H108">
        <v>74</v>
      </c>
      <c r="I108" s="261">
        <v>0.07</v>
      </c>
      <c r="J108" s="261">
        <v>2.05</v>
      </c>
      <c r="K108" s="261">
        <v>2.13</v>
      </c>
      <c r="L108" s="263">
        <v>8.5</v>
      </c>
      <c r="M108" s="252">
        <v>189</v>
      </c>
      <c r="N108" s="261">
        <v>2.9699999999999998</v>
      </c>
      <c r="O108" s="263">
        <v>5</v>
      </c>
      <c r="P108" s="263">
        <v>5.2</v>
      </c>
      <c r="Q108" s="263">
        <v>7.2</v>
      </c>
    </row>
    <row r="109" spans="1:17" ht="12.75">
      <c r="A109" s="100" t="str">
        <f>HYPERLINK("http://ct.wwsires.com/bull/14HO13600","BONSAI")</f>
        <v>BONSAI</v>
      </c>
      <c r="B109" t="s">
        <v>203</v>
      </c>
      <c r="C109" t="s">
        <v>204</v>
      </c>
      <c r="D109">
        <v>2715</v>
      </c>
      <c r="E109">
        <v>2296</v>
      </c>
      <c r="F109">
        <v>78</v>
      </c>
      <c r="G109" s="261">
        <v>-0.02</v>
      </c>
      <c r="H109">
        <v>70</v>
      </c>
      <c r="I109" s="261">
        <v>0</v>
      </c>
      <c r="J109" s="261">
        <v>2.09</v>
      </c>
      <c r="K109" s="261">
        <v>1.8900000000000001</v>
      </c>
      <c r="L109" s="263">
        <v>7.3</v>
      </c>
      <c r="M109" s="252">
        <v>189</v>
      </c>
      <c r="N109" s="261">
        <v>3.04</v>
      </c>
      <c r="O109" s="263">
        <v>2.5</v>
      </c>
      <c r="P109" s="263">
        <v>2.3</v>
      </c>
      <c r="Q109" s="263">
        <v>7</v>
      </c>
    </row>
    <row r="110" spans="1:17" ht="12.75">
      <c r="A110" s="101" t="str">
        <f>HYPERLINK("http://ct.wwsires.com/bull/14HO13980","FEDORA")</f>
        <v>FEDORA</v>
      </c>
      <c r="B110" t="s">
        <v>205</v>
      </c>
      <c r="C110" t="s">
        <v>123</v>
      </c>
      <c r="D110">
        <v>2845</v>
      </c>
      <c r="E110">
        <v>1250</v>
      </c>
      <c r="F110">
        <v>85</v>
      </c>
      <c r="G110" s="261">
        <v>0.14</v>
      </c>
      <c r="H110">
        <v>60</v>
      </c>
      <c r="I110" s="261">
        <v>0.08</v>
      </c>
      <c r="J110" s="261">
        <v>2.15</v>
      </c>
      <c r="K110" s="261">
        <v>2.12</v>
      </c>
      <c r="L110" s="263">
        <v>9.3</v>
      </c>
      <c r="M110" s="252">
        <v>188</v>
      </c>
      <c r="N110" s="261">
        <v>2.59</v>
      </c>
      <c r="O110" s="263">
        <v>3.7</v>
      </c>
      <c r="P110" s="263">
        <v>3.1</v>
      </c>
      <c r="Q110" s="263">
        <v>8.7</v>
      </c>
    </row>
    <row r="111" spans="1:17" ht="12.75">
      <c r="A111" s="102" t="str">
        <f>HYPERLINK("http://ct.wwsires.com/bull/7HO13322","CHANNING")</f>
        <v>CHANNING</v>
      </c>
      <c r="B111" t="s">
        <v>206</v>
      </c>
      <c r="C111" t="s">
        <v>207</v>
      </c>
      <c r="D111">
        <v>2670</v>
      </c>
      <c r="E111">
        <v>1242</v>
      </c>
      <c r="F111">
        <v>80</v>
      </c>
      <c r="G111" s="261">
        <v>0.12</v>
      </c>
      <c r="H111">
        <v>50</v>
      </c>
      <c r="I111" s="261">
        <v>0.04</v>
      </c>
      <c r="J111" s="261">
        <v>1.98</v>
      </c>
      <c r="K111" s="261">
        <v>2.22</v>
      </c>
      <c r="L111" s="263">
        <v>6.7</v>
      </c>
      <c r="M111" s="252">
        <v>188</v>
      </c>
      <c r="N111" s="261">
        <v>2.81</v>
      </c>
      <c r="O111" s="263">
        <v>3.3</v>
      </c>
      <c r="P111" s="263">
        <v>3.5</v>
      </c>
      <c r="Q111" s="263">
        <v>7.9</v>
      </c>
    </row>
    <row r="112" spans="1:17" ht="12.75">
      <c r="A112" s="103" t="str">
        <f>HYPERLINK("http://ct.wwsires.com/bull/14HO07876","ARTESIA")</f>
        <v>ARTESIA</v>
      </c>
      <c r="B112" t="s">
        <v>208</v>
      </c>
      <c r="C112" t="s">
        <v>209</v>
      </c>
      <c r="D112">
        <v>2697</v>
      </c>
      <c r="E112">
        <v>1491</v>
      </c>
      <c r="F112">
        <v>91</v>
      </c>
      <c r="G112" s="261">
        <v>0.13</v>
      </c>
      <c r="H112">
        <v>52</v>
      </c>
      <c r="I112" s="261">
        <v>0.03</v>
      </c>
      <c r="J112" s="261">
        <v>2.32</v>
      </c>
      <c r="K112" s="261">
        <v>2.02</v>
      </c>
      <c r="L112" s="263">
        <v>6.7</v>
      </c>
      <c r="M112" s="252">
        <v>188</v>
      </c>
      <c r="N112" s="261">
        <v>2.9699999999999998</v>
      </c>
      <c r="O112" s="263">
        <v>2.3</v>
      </c>
      <c r="P112" s="263">
        <v>2.2</v>
      </c>
      <c r="Q112" s="263">
        <v>6.8</v>
      </c>
    </row>
    <row r="113" spans="1:17" ht="12.75">
      <c r="A113" s="104" t="str">
        <f>HYPERLINK("http://ct.wwsires.com/bull/7HO12971","GALILEO")</f>
        <v>GALILEO</v>
      </c>
      <c r="B113" t="s">
        <v>210</v>
      </c>
      <c r="C113" t="s">
        <v>211</v>
      </c>
      <c r="D113">
        <v>2720</v>
      </c>
      <c r="E113">
        <v>1929</v>
      </c>
      <c r="F113">
        <v>73</v>
      </c>
      <c r="G113" s="261">
        <v>0.01</v>
      </c>
      <c r="H113">
        <v>70</v>
      </c>
      <c r="I113" s="261">
        <v>0.04</v>
      </c>
      <c r="J113" s="261">
        <v>1.63</v>
      </c>
      <c r="K113" s="261">
        <v>1.3900000000000001</v>
      </c>
      <c r="L113" s="263">
        <v>7.2</v>
      </c>
      <c r="M113" s="252">
        <v>187</v>
      </c>
      <c r="N113" s="261">
        <v>2.84</v>
      </c>
      <c r="O113" s="263">
        <v>3.8</v>
      </c>
      <c r="P113" s="263">
        <v>3.8</v>
      </c>
      <c r="Q113" s="263">
        <v>7.6</v>
      </c>
    </row>
    <row r="114" spans="1:17" ht="12.75">
      <c r="A114" s="105" t="str">
        <f>HYPERLINK("http://ct.wwsires.com/bull/507HO13715","RAPTOR")</f>
        <v>RAPTOR</v>
      </c>
      <c r="B114" t="s">
        <v>212</v>
      </c>
      <c r="C114" t="s">
        <v>213</v>
      </c>
      <c r="D114">
        <v>2867</v>
      </c>
      <c r="E114">
        <v>1245</v>
      </c>
      <c r="F114">
        <v>90</v>
      </c>
      <c r="G114" s="261">
        <v>0.16</v>
      </c>
      <c r="H114">
        <v>48</v>
      </c>
      <c r="I114" s="261">
        <v>0.04</v>
      </c>
      <c r="J114" s="261">
        <v>1.56</v>
      </c>
      <c r="K114" s="261">
        <v>2.08</v>
      </c>
      <c r="L114" s="263">
        <v>10.6</v>
      </c>
      <c r="M114" s="252">
        <v>187</v>
      </c>
      <c r="N114" s="261">
        <v>2.68</v>
      </c>
      <c r="O114" s="263">
        <v>4.1</v>
      </c>
      <c r="P114" s="263">
        <v>3.8</v>
      </c>
      <c r="Q114" s="263">
        <v>5.8</v>
      </c>
    </row>
    <row r="115" spans="1:17" ht="12.75">
      <c r="A115" s="106" t="str">
        <f>HYPERLINK("http://ct.wwsires.com/bull/7HO14160","LUSTER-P")</f>
        <v>LUSTER-P</v>
      </c>
      <c r="B115" t="s">
        <v>214</v>
      </c>
      <c r="C115" t="s">
        <v>215</v>
      </c>
      <c r="D115">
        <v>2779</v>
      </c>
      <c r="E115">
        <v>1470</v>
      </c>
      <c r="F115">
        <v>85</v>
      </c>
      <c r="G115" s="261">
        <v>0.11</v>
      </c>
      <c r="H115">
        <v>55</v>
      </c>
      <c r="I115" s="261">
        <v>0.03</v>
      </c>
      <c r="J115" s="261">
        <v>3.04</v>
      </c>
      <c r="K115" s="261">
        <v>2.38</v>
      </c>
      <c r="L115" s="263">
        <v>6.7</v>
      </c>
      <c r="M115" s="252">
        <v>186</v>
      </c>
      <c r="N115" s="261">
        <v>2.75</v>
      </c>
      <c r="O115" s="263">
        <v>2.6</v>
      </c>
      <c r="P115" s="263">
        <v>2.1</v>
      </c>
      <c r="Q115" s="263">
        <v>7</v>
      </c>
    </row>
    <row r="116" spans="1:17" ht="12.75">
      <c r="A116" s="107" t="str">
        <f>HYPERLINK("http://ct.wwsires.com/bull/507HO13628","PIZAZZ")</f>
        <v>PIZAZZ</v>
      </c>
      <c r="B116" t="s">
        <v>216</v>
      </c>
      <c r="C116" t="s">
        <v>217</v>
      </c>
      <c r="D116">
        <v>2859</v>
      </c>
      <c r="E116">
        <v>1748</v>
      </c>
      <c r="F116">
        <v>68</v>
      </c>
      <c r="G116" s="261">
        <v>0</v>
      </c>
      <c r="H116">
        <v>65</v>
      </c>
      <c r="I116" s="261">
        <v>0.05</v>
      </c>
      <c r="J116" s="261">
        <v>2.36</v>
      </c>
      <c r="K116" s="261">
        <v>2.5</v>
      </c>
      <c r="L116" s="263">
        <v>9.3</v>
      </c>
      <c r="M116" s="252">
        <v>185</v>
      </c>
      <c r="N116" s="261">
        <v>2.89</v>
      </c>
      <c r="O116" s="263">
        <v>3.6</v>
      </c>
      <c r="P116" s="263">
        <v>3.6</v>
      </c>
      <c r="Q116" s="263">
        <v>6.4</v>
      </c>
    </row>
    <row r="117" spans="1:17" ht="12.75">
      <c r="A117" s="108" t="str">
        <f>HYPERLINK("http://ct.wwsires.com/bull/14HO13767","ARTHUR")</f>
        <v>ARTHUR</v>
      </c>
      <c r="B117" t="s">
        <v>218</v>
      </c>
      <c r="C117" t="s">
        <v>55</v>
      </c>
      <c r="D117">
        <v>2738</v>
      </c>
      <c r="E117">
        <v>1289</v>
      </c>
      <c r="F117">
        <v>96</v>
      </c>
      <c r="G117" s="261">
        <v>0.17</v>
      </c>
      <c r="H117">
        <v>43</v>
      </c>
      <c r="I117" s="261">
        <v>0.01</v>
      </c>
      <c r="J117" s="261">
        <v>1.42</v>
      </c>
      <c r="K117" s="261">
        <v>1.74</v>
      </c>
      <c r="L117" s="263">
        <v>9.2</v>
      </c>
      <c r="M117" s="252">
        <v>185</v>
      </c>
      <c r="N117" s="261">
        <v>2.89</v>
      </c>
      <c r="O117" s="263">
        <v>4.2</v>
      </c>
      <c r="P117" s="263">
        <v>4.1</v>
      </c>
      <c r="Q117" s="263">
        <v>6.4</v>
      </c>
    </row>
    <row r="118" spans="1:17" ht="12.75">
      <c r="A118" s="109" t="str">
        <f>HYPERLINK("http://ct.wwsires.com/bull/7HO12026","GREENWAY")</f>
        <v>GREENWAY</v>
      </c>
      <c r="B118" t="s">
        <v>219</v>
      </c>
      <c r="C118" t="s">
        <v>220</v>
      </c>
      <c r="D118">
        <v>2491</v>
      </c>
      <c r="E118">
        <v>1710</v>
      </c>
      <c r="F118">
        <v>78</v>
      </c>
      <c r="G118" s="261">
        <v>0.05</v>
      </c>
      <c r="H118">
        <v>59</v>
      </c>
      <c r="I118" s="261">
        <v>0.02</v>
      </c>
      <c r="J118" s="261">
        <v>1.76</v>
      </c>
      <c r="K118" s="261">
        <v>1.12</v>
      </c>
      <c r="L118" s="263">
        <v>3.9</v>
      </c>
      <c r="M118" s="252">
        <v>185</v>
      </c>
      <c r="N118" s="261">
        <v>2.98</v>
      </c>
      <c r="O118" s="263">
        <v>1.3</v>
      </c>
      <c r="P118" s="263">
        <v>0.8</v>
      </c>
      <c r="Q118" s="263">
        <v>6.1</v>
      </c>
    </row>
    <row r="119" spans="1:17" ht="12.75">
      <c r="A119" s="110" t="str">
        <f>HYPERLINK("http://ct.wwsires.com/bull/14HO07640","PURPOSE")</f>
        <v>PURPOSE</v>
      </c>
      <c r="B119" t="s">
        <v>221</v>
      </c>
      <c r="C119" t="s">
        <v>222</v>
      </c>
      <c r="D119">
        <v>2370</v>
      </c>
      <c r="E119">
        <v>1591</v>
      </c>
      <c r="F119">
        <v>73</v>
      </c>
      <c r="G119" s="261">
        <v>0.05</v>
      </c>
      <c r="H119">
        <v>60</v>
      </c>
      <c r="I119" s="261">
        <v>0.05</v>
      </c>
      <c r="J119" s="261">
        <v>2.05</v>
      </c>
      <c r="K119" s="261">
        <v>1.8599999999999999</v>
      </c>
      <c r="L119" s="263">
        <v>3</v>
      </c>
      <c r="M119" s="252">
        <v>184</v>
      </c>
      <c r="N119" s="261">
        <v>2.84</v>
      </c>
      <c r="O119" s="263">
        <v>-2</v>
      </c>
      <c r="P119" s="263">
        <v>-2.5</v>
      </c>
      <c r="Q119" s="263">
        <v>6.8</v>
      </c>
    </row>
    <row r="120" spans="1:17" ht="12.75">
      <c r="A120" s="111" t="str">
        <f>HYPERLINK("http://ct.wwsires.com/bull/14HO07831","SPITE")</f>
        <v>SPITE</v>
      </c>
      <c r="B120" t="s">
        <v>223</v>
      </c>
      <c r="C120" t="s">
        <v>224</v>
      </c>
      <c r="D120">
        <v>2583</v>
      </c>
      <c r="E120">
        <v>1263</v>
      </c>
      <c r="F120">
        <v>89</v>
      </c>
      <c r="G120" s="261">
        <v>0.15</v>
      </c>
      <c r="H120">
        <v>47</v>
      </c>
      <c r="I120" s="261">
        <v>0.04</v>
      </c>
      <c r="J120" s="261">
        <v>0.74</v>
      </c>
      <c r="K120" s="261">
        <v>1.26</v>
      </c>
      <c r="L120" s="263">
        <v>6.7</v>
      </c>
      <c r="M120" s="252">
        <v>184</v>
      </c>
      <c r="N120" s="261">
        <v>3.05</v>
      </c>
      <c r="O120" s="263">
        <v>3.6</v>
      </c>
      <c r="P120" s="263">
        <v>3.4</v>
      </c>
      <c r="Q120" s="263">
        <v>6.5</v>
      </c>
    </row>
    <row r="121" spans="1:17" ht="12.75">
      <c r="A121" s="112" t="str">
        <f>HYPERLINK("http://ct.wwsires.com/bull/7HO13605","JAMOCHA")</f>
        <v>JAMOCHA</v>
      </c>
      <c r="B121" t="s">
        <v>225</v>
      </c>
      <c r="C121" t="s">
        <v>226</v>
      </c>
      <c r="D121">
        <v>2762</v>
      </c>
      <c r="E121">
        <v>2242</v>
      </c>
      <c r="F121">
        <v>78</v>
      </c>
      <c r="G121" s="261">
        <v>-0.02</v>
      </c>
      <c r="H121">
        <v>72</v>
      </c>
      <c r="I121" s="261">
        <v>0.02</v>
      </c>
      <c r="J121" s="261">
        <v>2.4</v>
      </c>
      <c r="K121" s="261">
        <v>1.71</v>
      </c>
      <c r="L121" s="263">
        <v>6.8</v>
      </c>
      <c r="M121" s="252">
        <v>184</v>
      </c>
      <c r="N121" s="261">
        <v>2.74</v>
      </c>
      <c r="O121" s="263">
        <v>2.8</v>
      </c>
      <c r="P121" s="263">
        <v>2.5</v>
      </c>
      <c r="Q121" s="263">
        <v>8.3</v>
      </c>
    </row>
    <row r="122" spans="1:17" ht="12.75">
      <c r="A122" s="113" t="str">
        <f>HYPERLINK("http://ct.wwsires.com/bull/14HO07426","EQUINOX")</f>
        <v>EQUINOX</v>
      </c>
      <c r="B122" t="s">
        <v>227</v>
      </c>
      <c r="C122" t="s">
        <v>228</v>
      </c>
      <c r="D122">
        <v>2537</v>
      </c>
      <c r="E122">
        <v>710</v>
      </c>
      <c r="F122">
        <v>100</v>
      </c>
      <c r="G122" s="261">
        <v>0.27</v>
      </c>
      <c r="H122">
        <v>37</v>
      </c>
      <c r="I122" s="261">
        <v>0.06</v>
      </c>
      <c r="J122" s="261">
        <v>0.65</v>
      </c>
      <c r="K122" s="261">
        <v>1.09</v>
      </c>
      <c r="L122" s="263">
        <v>8</v>
      </c>
      <c r="M122" s="252">
        <v>184</v>
      </c>
      <c r="N122" s="261">
        <v>2.66</v>
      </c>
      <c r="O122" s="263">
        <v>1.6</v>
      </c>
      <c r="P122" s="263">
        <v>1.3</v>
      </c>
      <c r="Q122" s="263">
        <v>6.4</v>
      </c>
    </row>
    <row r="123" spans="1:17" ht="12.75">
      <c r="A123" s="114" t="str">
        <f>HYPERLINK("http://ct.wwsires.com/bull/250HO12790","REVOLT")</f>
        <v>REVOLT</v>
      </c>
      <c r="B123" t="s">
        <v>229</v>
      </c>
      <c r="C123" t="s">
        <v>230</v>
      </c>
      <c r="D123">
        <v>2657</v>
      </c>
      <c r="E123">
        <v>1550</v>
      </c>
      <c r="F123">
        <v>82</v>
      </c>
      <c r="G123" s="261">
        <v>0.09</v>
      </c>
      <c r="H123">
        <v>58</v>
      </c>
      <c r="I123" s="261">
        <v>0.04</v>
      </c>
      <c r="J123" s="261">
        <v>2.87</v>
      </c>
      <c r="K123" s="261">
        <v>2.38</v>
      </c>
      <c r="L123" s="263">
        <v>5</v>
      </c>
      <c r="M123" s="252">
        <v>184</v>
      </c>
      <c r="N123" s="261">
        <v>2.91</v>
      </c>
      <c r="O123" s="263">
        <v>1.1</v>
      </c>
      <c r="P123" s="263">
        <v>0.5</v>
      </c>
      <c r="Q123" s="263">
        <v>8</v>
      </c>
    </row>
    <row r="124" spans="1:17" ht="12.75">
      <c r="A124" s="115" t="str">
        <f>HYPERLINK("http://ct.wwsires.com/bull/7HO12973","CODEC")</f>
        <v>CODEC</v>
      </c>
      <c r="B124" t="s">
        <v>231</v>
      </c>
      <c r="C124" t="s">
        <v>185</v>
      </c>
      <c r="D124">
        <v>2765</v>
      </c>
      <c r="E124">
        <v>1741</v>
      </c>
      <c r="F124">
        <v>80</v>
      </c>
      <c r="G124" s="261">
        <v>0.06</v>
      </c>
      <c r="H124">
        <v>68</v>
      </c>
      <c r="I124" s="261">
        <v>0.06</v>
      </c>
      <c r="J124" s="261">
        <v>1.75</v>
      </c>
      <c r="K124" s="261">
        <v>1.83</v>
      </c>
      <c r="L124" s="263">
        <v>7.3</v>
      </c>
      <c r="M124" s="252">
        <v>183</v>
      </c>
      <c r="N124" s="261">
        <v>2.71</v>
      </c>
      <c r="O124" s="263">
        <v>3.7</v>
      </c>
      <c r="P124" s="263">
        <v>3.6</v>
      </c>
      <c r="Q124" s="263">
        <v>8.5</v>
      </c>
    </row>
    <row r="125" spans="1:17" ht="12.75">
      <c r="A125" s="116" t="str">
        <f>HYPERLINK("http://ct.wwsires.com/bull/7HO13094","TRENTON")</f>
        <v>TRENTON</v>
      </c>
      <c r="B125" t="s">
        <v>232</v>
      </c>
      <c r="C125" t="s">
        <v>233</v>
      </c>
      <c r="D125">
        <v>2587</v>
      </c>
      <c r="E125">
        <v>466</v>
      </c>
      <c r="F125">
        <v>78</v>
      </c>
      <c r="G125" s="261">
        <v>0.22</v>
      </c>
      <c r="H125">
        <v>47</v>
      </c>
      <c r="I125" s="261">
        <v>0.12</v>
      </c>
      <c r="J125" s="261">
        <v>1.5899999999999999</v>
      </c>
      <c r="K125" s="261">
        <v>1.62</v>
      </c>
      <c r="L125" s="263">
        <v>8.7</v>
      </c>
      <c r="M125" s="252">
        <v>182</v>
      </c>
      <c r="N125" s="261">
        <v>2.85</v>
      </c>
      <c r="O125" s="263">
        <v>1.6</v>
      </c>
      <c r="P125" s="263">
        <v>1.1</v>
      </c>
      <c r="Q125" s="263">
        <v>6.3</v>
      </c>
    </row>
    <row r="126" spans="1:17" ht="12.75">
      <c r="A126" s="117" t="str">
        <f>HYPERLINK("http://ct.wwsires.com/bull/14HO07830","ACCELSTAMP")</f>
        <v>ACCELSTAMP</v>
      </c>
      <c r="B126" t="s">
        <v>234</v>
      </c>
      <c r="C126" t="s">
        <v>235</v>
      </c>
      <c r="D126">
        <v>2592</v>
      </c>
      <c r="E126">
        <v>1776</v>
      </c>
      <c r="F126">
        <v>83</v>
      </c>
      <c r="G126" s="261">
        <v>0.06</v>
      </c>
      <c r="H126">
        <v>59</v>
      </c>
      <c r="I126" s="261">
        <v>0.02</v>
      </c>
      <c r="J126" s="261">
        <v>1.5699999999999998</v>
      </c>
      <c r="K126" s="261">
        <v>0.67</v>
      </c>
      <c r="L126" s="263">
        <v>6.1</v>
      </c>
      <c r="M126" s="252">
        <v>182</v>
      </c>
      <c r="N126" s="261">
        <v>2.77</v>
      </c>
      <c r="O126" s="263">
        <v>1.7</v>
      </c>
      <c r="P126" s="263">
        <v>1.1</v>
      </c>
      <c r="Q126" s="263">
        <v>7.4</v>
      </c>
    </row>
    <row r="127" spans="1:17" ht="12.75">
      <c r="A127" s="118" t="str">
        <f>HYPERLINK("http://ct.wwsires.com/bull/7HO12917","MAXFLI")</f>
        <v>MAXFLI</v>
      </c>
      <c r="B127" t="s">
        <v>236</v>
      </c>
      <c r="C127" t="s">
        <v>237</v>
      </c>
      <c r="D127">
        <v>2596</v>
      </c>
      <c r="E127">
        <v>808</v>
      </c>
      <c r="F127">
        <v>93</v>
      </c>
      <c r="G127" s="261">
        <v>0.23</v>
      </c>
      <c r="H127">
        <v>43</v>
      </c>
      <c r="I127" s="261">
        <v>0.07</v>
      </c>
      <c r="J127" s="261">
        <v>1.45</v>
      </c>
      <c r="K127" s="261">
        <v>1.16</v>
      </c>
      <c r="L127" s="263">
        <v>6.9</v>
      </c>
      <c r="M127" s="252">
        <v>182</v>
      </c>
      <c r="N127" s="261">
        <v>2.82</v>
      </c>
      <c r="O127" s="263">
        <v>2.4</v>
      </c>
      <c r="P127" s="263">
        <v>2.4</v>
      </c>
      <c r="Q127" s="263">
        <v>7.2</v>
      </c>
    </row>
    <row r="128" spans="1:17" ht="12.75">
      <c r="A128" s="119" t="str">
        <f>HYPERLINK("http://ct.wwsires.com/bull/7HO11525","DONATELLO")</f>
        <v>DONATELLO</v>
      </c>
      <c r="B128" t="s">
        <v>238</v>
      </c>
      <c r="C128" t="s">
        <v>239</v>
      </c>
      <c r="D128">
        <v>2555</v>
      </c>
      <c r="E128">
        <v>1180</v>
      </c>
      <c r="F128">
        <v>74</v>
      </c>
      <c r="G128" s="261">
        <v>0.11</v>
      </c>
      <c r="H128">
        <v>48</v>
      </c>
      <c r="I128" s="261">
        <v>0.04</v>
      </c>
      <c r="J128" s="261">
        <v>1.06</v>
      </c>
      <c r="K128" s="261">
        <v>1.26</v>
      </c>
      <c r="L128" s="263">
        <v>5.3</v>
      </c>
      <c r="M128" s="252">
        <v>182</v>
      </c>
      <c r="N128" s="261">
        <v>2.9</v>
      </c>
      <c r="O128" s="263">
        <v>3.1</v>
      </c>
      <c r="P128" s="263">
        <v>2.9</v>
      </c>
      <c r="Q128" s="263">
        <v>6</v>
      </c>
    </row>
    <row r="129" spans="1:17" ht="12.75">
      <c r="A129" s="120" t="str">
        <f>HYPERLINK("http://ct.wwsires.com/bull/7HO12186","MILSON")</f>
        <v>MILSON</v>
      </c>
      <c r="B129" t="s">
        <v>240</v>
      </c>
      <c r="C129" t="s">
        <v>241</v>
      </c>
      <c r="D129">
        <v>2475</v>
      </c>
      <c r="E129">
        <v>2289</v>
      </c>
      <c r="F129">
        <v>57</v>
      </c>
      <c r="G129" s="261">
        <v>-0.1</v>
      </c>
      <c r="H129">
        <v>69</v>
      </c>
      <c r="I129" s="261">
        <v>0</v>
      </c>
      <c r="J129" s="261">
        <v>2.37</v>
      </c>
      <c r="K129" s="261">
        <v>2.35</v>
      </c>
      <c r="L129" s="263">
        <v>3.4</v>
      </c>
      <c r="M129" s="252">
        <v>182</v>
      </c>
      <c r="N129" s="261">
        <v>2.9699999999999998</v>
      </c>
      <c r="O129" s="263">
        <v>-1</v>
      </c>
      <c r="P129" s="263">
        <v>-1.4</v>
      </c>
      <c r="Q129" s="263">
        <v>6.5</v>
      </c>
    </row>
    <row r="130" spans="1:17" ht="12.75">
      <c r="A130" s="121" t="str">
        <f>HYPERLINK("http://ct.wwsires.com/bull/7HO11373","BIGGIO")</f>
        <v>BIGGIO</v>
      </c>
      <c r="B130" t="s">
        <v>242</v>
      </c>
      <c r="C130" t="s">
        <v>243</v>
      </c>
      <c r="D130">
        <v>2416</v>
      </c>
      <c r="E130">
        <v>1090</v>
      </c>
      <c r="F130">
        <v>77</v>
      </c>
      <c r="G130" s="261">
        <v>0.13</v>
      </c>
      <c r="H130">
        <v>54</v>
      </c>
      <c r="I130" s="261">
        <v>0.07</v>
      </c>
      <c r="J130" s="261">
        <v>1.02</v>
      </c>
      <c r="K130" s="261">
        <v>0.88</v>
      </c>
      <c r="L130" s="263">
        <v>4.7</v>
      </c>
      <c r="M130" s="252">
        <v>182</v>
      </c>
      <c r="N130" s="261">
        <v>2.9</v>
      </c>
      <c r="O130" s="263">
        <v>0.2</v>
      </c>
      <c r="P130" s="263">
        <v>-0.2</v>
      </c>
      <c r="Q130" s="263">
        <v>7.1</v>
      </c>
    </row>
    <row r="131" spans="1:17" ht="12.75">
      <c r="A131" s="122" t="str">
        <f>HYPERLINK("http://ct.wwsires.com/bull/14HO07800","HITEST")</f>
        <v>HITEST</v>
      </c>
      <c r="B131" t="s">
        <v>244</v>
      </c>
      <c r="C131" t="s">
        <v>51</v>
      </c>
      <c r="D131">
        <v>2618</v>
      </c>
      <c r="E131">
        <v>1154</v>
      </c>
      <c r="F131">
        <v>80</v>
      </c>
      <c r="G131" s="261">
        <v>0.13</v>
      </c>
      <c r="H131">
        <v>52</v>
      </c>
      <c r="I131" s="261">
        <v>0.06</v>
      </c>
      <c r="J131" s="261">
        <v>2.11</v>
      </c>
      <c r="K131" s="261">
        <v>2.62</v>
      </c>
      <c r="L131" s="263">
        <v>5.7</v>
      </c>
      <c r="M131" s="252">
        <v>181</v>
      </c>
      <c r="N131" s="261">
        <v>2.79</v>
      </c>
      <c r="O131" s="263">
        <v>1.1</v>
      </c>
      <c r="P131" s="263">
        <v>0.8</v>
      </c>
      <c r="Q131" s="263">
        <v>8</v>
      </c>
    </row>
    <row r="132" spans="1:17" ht="12.75">
      <c r="A132" s="123" t="str">
        <f>HYPERLINK("http://ct.wwsires.com/bull/14HO07794","GURU")</f>
        <v>GURU</v>
      </c>
      <c r="B132" t="s">
        <v>245</v>
      </c>
      <c r="C132" t="s">
        <v>51</v>
      </c>
      <c r="D132">
        <v>2667</v>
      </c>
      <c r="E132">
        <v>1117</v>
      </c>
      <c r="F132">
        <v>89</v>
      </c>
      <c r="G132" s="261">
        <v>0.17</v>
      </c>
      <c r="H132">
        <v>48</v>
      </c>
      <c r="I132" s="261">
        <v>0.05</v>
      </c>
      <c r="J132" s="261">
        <v>1.85</v>
      </c>
      <c r="K132" s="261">
        <v>2.46</v>
      </c>
      <c r="L132" s="263">
        <v>7.5</v>
      </c>
      <c r="M132" s="252">
        <v>181</v>
      </c>
      <c r="N132" s="261">
        <v>2.76</v>
      </c>
      <c r="O132" s="263">
        <v>1.5</v>
      </c>
      <c r="P132" s="263">
        <v>1.5</v>
      </c>
      <c r="Q132" s="263">
        <v>7.7</v>
      </c>
    </row>
    <row r="133" spans="1:17" ht="12.75">
      <c r="A133" s="124" t="str">
        <f>HYPERLINK("http://ct.wwsires.com/bull/7HO12095","MALLINGER")</f>
        <v>MALLINGER</v>
      </c>
      <c r="B133" t="s">
        <v>246</v>
      </c>
      <c r="C133" t="s">
        <v>220</v>
      </c>
      <c r="D133">
        <v>2446</v>
      </c>
      <c r="E133">
        <v>1486</v>
      </c>
      <c r="F133">
        <v>82</v>
      </c>
      <c r="G133" s="261">
        <v>0.09</v>
      </c>
      <c r="H133">
        <v>45</v>
      </c>
      <c r="I133" s="261">
        <v>0</v>
      </c>
      <c r="J133" s="261">
        <v>1.76</v>
      </c>
      <c r="K133" s="261">
        <v>1.79</v>
      </c>
      <c r="L133" s="263">
        <v>3.4</v>
      </c>
      <c r="M133" s="252">
        <v>181</v>
      </c>
      <c r="N133" s="261">
        <v>3.06</v>
      </c>
      <c r="O133" s="263">
        <v>0.4</v>
      </c>
      <c r="P133" s="263">
        <v>0.2</v>
      </c>
      <c r="Q133" s="263">
        <v>5.7</v>
      </c>
    </row>
    <row r="134" spans="1:17" ht="12.75">
      <c r="A134" s="125" t="str">
        <f>HYPERLINK("http://ct.wwsires.com/bull/7HO11708","ROOKIE")</f>
        <v>ROOKIE</v>
      </c>
      <c r="B134" t="s">
        <v>247</v>
      </c>
      <c r="C134" t="s">
        <v>248</v>
      </c>
      <c r="D134">
        <v>2573</v>
      </c>
      <c r="E134">
        <v>1146</v>
      </c>
      <c r="F134">
        <v>85</v>
      </c>
      <c r="G134" s="261">
        <v>0.16</v>
      </c>
      <c r="H134">
        <v>46</v>
      </c>
      <c r="I134" s="261">
        <v>0.04</v>
      </c>
      <c r="J134" s="261">
        <v>1.74</v>
      </c>
      <c r="K134" s="261">
        <v>1.46</v>
      </c>
      <c r="L134" s="263">
        <v>6.6</v>
      </c>
      <c r="M134" s="252">
        <v>181</v>
      </c>
      <c r="N134" s="261">
        <v>2.7199999999999998</v>
      </c>
      <c r="O134" s="263">
        <v>1.4</v>
      </c>
      <c r="P134" s="263">
        <v>0.6</v>
      </c>
      <c r="Q134" s="263">
        <v>5.8</v>
      </c>
    </row>
    <row r="135" spans="1:17" ht="12.75">
      <c r="A135" s="126" t="str">
        <f>HYPERLINK("http://ct.wwsires.com/bull/7HO12837","ZAMBONI")</f>
        <v>ZAMBONI</v>
      </c>
      <c r="B135" t="s">
        <v>249</v>
      </c>
      <c r="C135" t="s">
        <v>250</v>
      </c>
      <c r="D135">
        <v>2750</v>
      </c>
      <c r="E135">
        <v>1963</v>
      </c>
      <c r="F135">
        <v>83</v>
      </c>
      <c r="G135" s="261">
        <v>0.04</v>
      </c>
      <c r="H135">
        <v>63</v>
      </c>
      <c r="I135" s="261">
        <v>0.01</v>
      </c>
      <c r="J135" s="261">
        <v>2.18</v>
      </c>
      <c r="K135" s="261">
        <v>2.26</v>
      </c>
      <c r="L135" s="263">
        <v>6.9</v>
      </c>
      <c r="M135" s="252">
        <v>181</v>
      </c>
      <c r="N135" s="261">
        <v>2.8</v>
      </c>
      <c r="O135" s="263">
        <v>3</v>
      </c>
      <c r="P135" s="263">
        <v>2.8</v>
      </c>
      <c r="Q135" s="263">
        <v>8.2</v>
      </c>
    </row>
    <row r="136" spans="1:17" ht="12.75">
      <c r="A136" s="127" t="str">
        <f>HYPERLINK("http://ct.wwsires.com/bull/7HO12942","RESOLVE")</f>
        <v>RESOLVE</v>
      </c>
      <c r="B136" t="s">
        <v>251</v>
      </c>
      <c r="C136" t="s">
        <v>116</v>
      </c>
      <c r="D136">
        <v>2823</v>
      </c>
      <c r="E136">
        <v>1674</v>
      </c>
      <c r="F136">
        <v>78</v>
      </c>
      <c r="G136" s="261">
        <v>0.06</v>
      </c>
      <c r="H136">
        <v>66</v>
      </c>
      <c r="I136" s="261">
        <v>0.05</v>
      </c>
      <c r="J136" s="261">
        <v>1.7</v>
      </c>
      <c r="K136" s="261">
        <v>1.5699999999999998</v>
      </c>
      <c r="L136" s="263">
        <v>9.4</v>
      </c>
      <c r="M136" s="252">
        <v>181</v>
      </c>
      <c r="N136" s="261">
        <v>2.73</v>
      </c>
      <c r="O136" s="263">
        <v>4.3</v>
      </c>
      <c r="P136" s="263">
        <v>4.2</v>
      </c>
      <c r="Q136" s="263">
        <v>8.4</v>
      </c>
    </row>
    <row r="137" spans="1:17" ht="12.75">
      <c r="A137" s="128" t="str">
        <f>HYPERLINK("http://ct.wwsires.com/bull/7HO12832","SEATTLE")</f>
        <v>SEATTLE</v>
      </c>
      <c r="B137" t="s">
        <v>252</v>
      </c>
      <c r="C137" t="s">
        <v>253</v>
      </c>
      <c r="D137">
        <v>2638</v>
      </c>
      <c r="E137">
        <v>2144</v>
      </c>
      <c r="F137">
        <v>79</v>
      </c>
      <c r="G137" s="261">
        <v>-0.01</v>
      </c>
      <c r="H137">
        <v>63</v>
      </c>
      <c r="I137" s="261">
        <v>0</v>
      </c>
      <c r="J137" s="261">
        <v>2.02</v>
      </c>
      <c r="K137" s="261">
        <v>2.09</v>
      </c>
      <c r="L137" s="263">
        <v>7.1</v>
      </c>
      <c r="M137" s="252">
        <v>181</v>
      </c>
      <c r="N137" s="261">
        <v>2.7199999999999998</v>
      </c>
      <c r="O137" s="263">
        <v>0.7</v>
      </c>
      <c r="P137" s="263">
        <v>0.4</v>
      </c>
      <c r="Q137" s="263">
        <v>7.4</v>
      </c>
    </row>
    <row r="138" spans="1:17" ht="12.75">
      <c r="A138" s="129" t="str">
        <f>HYPERLINK("http://ct.wwsires.com/bull/7HO13262","PREMIUM")</f>
        <v>PREMIUM</v>
      </c>
      <c r="B138" t="s">
        <v>254</v>
      </c>
      <c r="C138" t="s">
        <v>255</v>
      </c>
      <c r="D138">
        <v>2711</v>
      </c>
      <c r="E138">
        <v>1536</v>
      </c>
      <c r="F138">
        <v>84</v>
      </c>
      <c r="G138" s="261">
        <v>0.1</v>
      </c>
      <c r="H138">
        <v>54</v>
      </c>
      <c r="I138" s="261">
        <v>0.03</v>
      </c>
      <c r="J138" s="261">
        <v>2.44</v>
      </c>
      <c r="K138" s="261">
        <v>2.4699999999999998</v>
      </c>
      <c r="L138" s="263">
        <v>7.6</v>
      </c>
      <c r="M138" s="252">
        <v>180</v>
      </c>
      <c r="N138" s="261">
        <v>2.84</v>
      </c>
      <c r="O138" s="263">
        <v>2.7</v>
      </c>
      <c r="P138" s="263">
        <v>2.5</v>
      </c>
      <c r="Q138" s="263">
        <v>7.6</v>
      </c>
    </row>
    <row r="139" spans="1:17" ht="12.75">
      <c r="A139" s="130" t="str">
        <f>HYPERLINK("http://ct.wwsires.com/bull/7HO11524","DANTE")</f>
        <v>DANTE</v>
      </c>
      <c r="B139" t="s">
        <v>256</v>
      </c>
      <c r="C139" t="s">
        <v>239</v>
      </c>
      <c r="D139">
        <v>2423</v>
      </c>
      <c r="E139">
        <v>1446</v>
      </c>
      <c r="F139">
        <v>63</v>
      </c>
      <c r="G139" s="261">
        <v>0.03</v>
      </c>
      <c r="H139">
        <v>53</v>
      </c>
      <c r="I139" s="261">
        <v>0.03</v>
      </c>
      <c r="J139" s="261">
        <v>0.39</v>
      </c>
      <c r="K139" s="261">
        <v>1.06</v>
      </c>
      <c r="L139" s="263">
        <v>5.4</v>
      </c>
      <c r="M139" s="252">
        <v>180</v>
      </c>
      <c r="N139" s="261">
        <v>3.11</v>
      </c>
      <c r="O139" s="263">
        <v>2.4</v>
      </c>
      <c r="P139" s="263">
        <v>2.1</v>
      </c>
      <c r="Q139" s="263">
        <v>5.5</v>
      </c>
    </row>
    <row r="140" spans="1:17" ht="12.75">
      <c r="A140" s="131" t="str">
        <f>HYPERLINK("http://ct.wwsires.com/bull/14HO07799","MOONSHNE")</f>
        <v>MOONSHNE</v>
      </c>
      <c r="B140" t="s">
        <v>257</v>
      </c>
      <c r="C140" t="s">
        <v>258</v>
      </c>
      <c r="D140">
        <v>2667</v>
      </c>
      <c r="E140">
        <v>1078</v>
      </c>
      <c r="F140">
        <v>80</v>
      </c>
      <c r="G140" s="261">
        <v>0.14</v>
      </c>
      <c r="H140">
        <v>57</v>
      </c>
      <c r="I140" s="261">
        <v>0.09</v>
      </c>
      <c r="J140" s="261">
        <v>1.83</v>
      </c>
      <c r="K140" s="261">
        <v>1.72</v>
      </c>
      <c r="L140" s="263">
        <v>5.7</v>
      </c>
      <c r="M140" s="252">
        <v>180</v>
      </c>
      <c r="N140" s="261">
        <v>2.7800000000000002</v>
      </c>
      <c r="O140" s="263">
        <v>3</v>
      </c>
      <c r="P140" s="263">
        <v>2.8</v>
      </c>
      <c r="Q140" s="263">
        <v>6.7</v>
      </c>
    </row>
    <row r="141" spans="1:17" ht="12.75">
      <c r="A141" s="132" t="str">
        <f>HYPERLINK("http://ct.wwsires.com/bull/14HO13738","EUREKA")</f>
        <v>EUREKA</v>
      </c>
      <c r="B141" t="s">
        <v>259</v>
      </c>
      <c r="C141" t="s">
        <v>260</v>
      </c>
      <c r="D141">
        <v>2805</v>
      </c>
      <c r="E141">
        <v>1309</v>
      </c>
      <c r="F141">
        <v>84</v>
      </c>
      <c r="G141" s="261">
        <v>0.13</v>
      </c>
      <c r="H141">
        <v>52</v>
      </c>
      <c r="I141" s="261">
        <v>0.04</v>
      </c>
      <c r="J141" s="261">
        <v>2.41</v>
      </c>
      <c r="K141" s="261">
        <v>2.52</v>
      </c>
      <c r="L141" s="263">
        <v>7.1</v>
      </c>
      <c r="M141" s="252">
        <v>180</v>
      </c>
      <c r="N141" s="261">
        <v>2.83</v>
      </c>
      <c r="O141" s="263">
        <v>4.1</v>
      </c>
      <c r="P141" s="263">
        <v>4.4</v>
      </c>
      <c r="Q141" s="263">
        <v>5.8</v>
      </c>
    </row>
    <row r="142" spans="1:17" ht="12.75">
      <c r="A142" s="133" t="str">
        <f>HYPERLINK("http://ct.wwsires.com/bull/14HO07864","ACCELPRIMO")</f>
        <v>ACCELPRIMO</v>
      </c>
      <c r="B142" t="s">
        <v>261</v>
      </c>
      <c r="C142" t="s">
        <v>262</v>
      </c>
      <c r="D142">
        <v>2654</v>
      </c>
      <c r="E142">
        <v>805</v>
      </c>
      <c r="F142">
        <v>88</v>
      </c>
      <c r="G142" s="261">
        <v>0.21</v>
      </c>
      <c r="H142">
        <v>45</v>
      </c>
      <c r="I142" s="261">
        <v>0.08</v>
      </c>
      <c r="J142" s="261">
        <v>2.22</v>
      </c>
      <c r="K142" s="261">
        <v>1.88</v>
      </c>
      <c r="L142" s="263">
        <v>5.1</v>
      </c>
      <c r="M142" s="252">
        <v>180</v>
      </c>
      <c r="N142" s="261">
        <v>2.99</v>
      </c>
      <c r="O142" s="263">
        <v>3.2</v>
      </c>
      <c r="P142" s="263">
        <v>3.2</v>
      </c>
      <c r="Q142" s="263">
        <v>7.1</v>
      </c>
    </row>
    <row r="143" spans="1:17" ht="12.75">
      <c r="A143" s="134" t="str">
        <f>HYPERLINK("http://ct.wwsires.com/bull/14HO07810","LES")</f>
        <v>LES</v>
      </c>
      <c r="B143" t="s">
        <v>263</v>
      </c>
      <c r="C143" t="s">
        <v>69</v>
      </c>
      <c r="D143">
        <v>2619</v>
      </c>
      <c r="E143">
        <v>1763</v>
      </c>
      <c r="F143">
        <v>64</v>
      </c>
      <c r="G143" s="261">
        <v>0</v>
      </c>
      <c r="H143">
        <v>66</v>
      </c>
      <c r="I143" s="261">
        <v>0.05</v>
      </c>
      <c r="J143" s="261">
        <v>1.71</v>
      </c>
      <c r="K143" s="261">
        <v>1.8900000000000001</v>
      </c>
      <c r="L143" s="263">
        <v>6.6</v>
      </c>
      <c r="M143" s="252">
        <v>179</v>
      </c>
      <c r="N143" s="261">
        <v>2.85</v>
      </c>
      <c r="O143" s="263">
        <v>2</v>
      </c>
      <c r="P143" s="263">
        <v>2.1</v>
      </c>
      <c r="Q143" s="263">
        <v>7.9</v>
      </c>
    </row>
    <row r="144" spans="1:17" ht="12.75">
      <c r="A144" s="135" t="str">
        <f>HYPERLINK("http://ct.wwsires.com/bull/7HO11725","GRIN")</f>
        <v>GRIN</v>
      </c>
      <c r="B144" t="s">
        <v>264</v>
      </c>
      <c r="C144" t="s">
        <v>265</v>
      </c>
      <c r="D144">
        <v>2416</v>
      </c>
      <c r="E144">
        <v>1557</v>
      </c>
      <c r="F144">
        <v>65</v>
      </c>
      <c r="G144" s="261">
        <v>0.03</v>
      </c>
      <c r="H144">
        <v>49</v>
      </c>
      <c r="I144" s="261">
        <v>0</v>
      </c>
      <c r="J144" s="261">
        <v>1.11</v>
      </c>
      <c r="K144" s="261">
        <v>1.02</v>
      </c>
      <c r="L144" s="263">
        <v>6.2</v>
      </c>
      <c r="M144" s="252">
        <v>179</v>
      </c>
      <c r="N144" s="261">
        <v>3.02</v>
      </c>
      <c r="O144" s="263">
        <v>1.3</v>
      </c>
      <c r="P144" s="263">
        <v>0.6</v>
      </c>
      <c r="Q144" s="263">
        <v>6</v>
      </c>
    </row>
    <row r="145" spans="1:17" ht="12.75">
      <c r="A145" s="136" t="str">
        <f>HYPERLINK("http://ct.wwsires.com/bull/7HO12898","SUPERSPRING")</f>
        <v>SUPERSPRING</v>
      </c>
      <c r="B145" t="s">
        <v>266</v>
      </c>
      <c r="C145" t="s">
        <v>267</v>
      </c>
      <c r="D145">
        <v>2720</v>
      </c>
      <c r="E145">
        <v>1060</v>
      </c>
      <c r="F145">
        <v>79</v>
      </c>
      <c r="G145" s="261">
        <v>0.14</v>
      </c>
      <c r="H145">
        <v>54</v>
      </c>
      <c r="I145" s="261">
        <v>0.08</v>
      </c>
      <c r="J145" s="261">
        <v>1.9100000000000001</v>
      </c>
      <c r="K145" s="261">
        <v>2.16</v>
      </c>
      <c r="L145" s="263">
        <v>7.5</v>
      </c>
      <c r="M145" s="252">
        <v>179</v>
      </c>
      <c r="N145" s="261">
        <v>2.83</v>
      </c>
      <c r="O145" s="263">
        <v>3.5</v>
      </c>
      <c r="P145" s="263">
        <v>3.2</v>
      </c>
      <c r="Q145" s="263">
        <v>7.9</v>
      </c>
    </row>
    <row r="146" spans="1:17" ht="12.75">
      <c r="A146" s="137" t="str">
        <f>HYPERLINK("http://ct.wwsires.com/bull/14HO07851","HODOR")</f>
        <v>HODOR</v>
      </c>
      <c r="B146" t="s">
        <v>268</v>
      </c>
      <c r="C146" t="s">
        <v>269</v>
      </c>
      <c r="D146">
        <v>2620</v>
      </c>
      <c r="E146">
        <v>1066</v>
      </c>
      <c r="F146">
        <v>82</v>
      </c>
      <c r="G146" s="261">
        <v>0.15</v>
      </c>
      <c r="H146">
        <v>44</v>
      </c>
      <c r="I146" s="261">
        <v>0.04</v>
      </c>
      <c r="J146" s="261">
        <v>1.43</v>
      </c>
      <c r="K146" s="261">
        <v>1.71</v>
      </c>
      <c r="L146" s="263">
        <v>7.2</v>
      </c>
      <c r="M146" s="252">
        <v>179</v>
      </c>
      <c r="N146" s="261">
        <v>2.8</v>
      </c>
      <c r="O146" s="263">
        <v>3.4</v>
      </c>
      <c r="P146" s="263">
        <v>2.9</v>
      </c>
      <c r="Q146" s="263">
        <v>6</v>
      </c>
    </row>
    <row r="147" spans="1:17" ht="12.75">
      <c r="A147" s="138" t="str">
        <f>HYPERLINK("http://ct.wwsires.com/bull/7HO13701","LAMBEAU")</f>
        <v>LAMBEAU</v>
      </c>
      <c r="B147" t="s">
        <v>270</v>
      </c>
      <c r="C147" t="s">
        <v>271</v>
      </c>
      <c r="D147">
        <v>2724</v>
      </c>
      <c r="E147">
        <v>1920</v>
      </c>
      <c r="F147">
        <v>80</v>
      </c>
      <c r="G147" s="261">
        <v>0.03</v>
      </c>
      <c r="H147">
        <v>60</v>
      </c>
      <c r="I147" s="261">
        <v>0.01</v>
      </c>
      <c r="J147" s="261">
        <v>1.99</v>
      </c>
      <c r="K147" s="261">
        <v>2.05</v>
      </c>
      <c r="L147" s="263">
        <v>7.6</v>
      </c>
      <c r="M147" s="252">
        <v>179</v>
      </c>
      <c r="N147" s="261">
        <v>2.88</v>
      </c>
      <c r="O147" s="263">
        <v>3.2</v>
      </c>
      <c r="P147" s="263">
        <v>3.2</v>
      </c>
      <c r="Q147" s="263">
        <v>7.3</v>
      </c>
    </row>
    <row r="148" spans="1:17" ht="12.75">
      <c r="A148" s="139" t="str">
        <f>HYPERLINK("http://ct.wwsires.com/bull/7HO13693","BENZ")</f>
        <v>BENZ</v>
      </c>
      <c r="B148" t="s">
        <v>272</v>
      </c>
      <c r="C148" t="s">
        <v>273</v>
      </c>
      <c r="D148">
        <v>2782</v>
      </c>
      <c r="E148">
        <v>1500</v>
      </c>
      <c r="F148">
        <v>70</v>
      </c>
      <c r="G148" s="261">
        <v>0.05</v>
      </c>
      <c r="H148">
        <v>61</v>
      </c>
      <c r="I148" s="261">
        <v>0.06</v>
      </c>
      <c r="J148" s="261">
        <v>2.15</v>
      </c>
      <c r="K148" s="261">
        <v>2.06</v>
      </c>
      <c r="L148" s="263">
        <v>9.6</v>
      </c>
      <c r="M148" s="252">
        <v>179</v>
      </c>
      <c r="N148" s="261">
        <v>2.9</v>
      </c>
      <c r="O148" s="263">
        <v>3.9</v>
      </c>
      <c r="P148" s="263">
        <v>4</v>
      </c>
      <c r="Q148" s="263">
        <v>5.4</v>
      </c>
    </row>
    <row r="149" spans="1:17" ht="12.75">
      <c r="A149" s="140" t="str">
        <f>HYPERLINK("http://ct.wwsires.com/bull/14HO07819","SILVER ARROW")</f>
        <v>SILVER ARROW</v>
      </c>
      <c r="B149" t="s">
        <v>274</v>
      </c>
      <c r="C149" t="s">
        <v>275</v>
      </c>
      <c r="D149">
        <v>2643</v>
      </c>
      <c r="E149">
        <v>1403</v>
      </c>
      <c r="F149">
        <v>77</v>
      </c>
      <c r="G149" s="261">
        <v>0.09</v>
      </c>
      <c r="H149">
        <v>54</v>
      </c>
      <c r="I149" s="261">
        <v>0.04</v>
      </c>
      <c r="J149" s="261">
        <v>1.45</v>
      </c>
      <c r="K149" s="261">
        <v>2.01</v>
      </c>
      <c r="L149" s="263">
        <v>7</v>
      </c>
      <c r="M149" s="252">
        <v>178</v>
      </c>
      <c r="N149" s="261">
        <v>2.71</v>
      </c>
      <c r="O149" s="263">
        <v>1.7</v>
      </c>
      <c r="P149" s="263">
        <v>1.4</v>
      </c>
      <c r="Q149" s="263">
        <v>8.7</v>
      </c>
    </row>
    <row r="150" spans="1:17" ht="12.75">
      <c r="A150" s="141" t="str">
        <f>HYPERLINK("http://ct.wwsires.com/bull/7HO11621","MAYFLOWER")</f>
        <v>MAYFLOWER</v>
      </c>
      <c r="B150" t="s">
        <v>276</v>
      </c>
      <c r="C150" t="s">
        <v>277</v>
      </c>
      <c r="D150">
        <v>2552</v>
      </c>
      <c r="E150">
        <v>2653</v>
      </c>
      <c r="F150">
        <v>56</v>
      </c>
      <c r="G150" s="261">
        <v>-0.14</v>
      </c>
      <c r="H150">
        <v>82</v>
      </c>
      <c r="I150" s="261">
        <v>0</v>
      </c>
      <c r="J150" s="261">
        <v>0.95</v>
      </c>
      <c r="K150" s="261">
        <v>0.67</v>
      </c>
      <c r="L150" s="263">
        <v>4.5</v>
      </c>
      <c r="M150" s="252">
        <v>178</v>
      </c>
      <c r="N150" s="261">
        <v>2.8</v>
      </c>
      <c r="O150" s="263">
        <v>1.9</v>
      </c>
      <c r="P150" s="263">
        <v>1.6</v>
      </c>
      <c r="Q150" s="263">
        <v>6.9</v>
      </c>
    </row>
    <row r="151" spans="1:17" ht="12.75">
      <c r="A151" s="142" t="str">
        <f>HYPERLINK("http://ct.wwsires.com/bull/7HO11752","BOB")</f>
        <v>BOB</v>
      </c>
      <c r="B151" t="s">
        <v>278</v>
      </c>
      <c r="C151" t="s">
        <v>279</v>
      </c>
      <c r="D151">
        <v>2585</v>
      </c>
      <c r="E151">
        <v>773</v>
      </c>
      <c r="F151">
        <v>71</v>
      </c>
      <c r="G151" s="261">
        <v>0.15</v>
      </c>
      <c r="H151">
        <v>56</v>
      </c>
      <c r="I151" s="261">
        <v>0.12</v>
      </c>
      <c r="J151" s="261">
        <v>1.8599999999999999</v>
      </c>
      <c r="K151" s="261">
        <v>1.79</v>
      </c>
      <c r="L151" s="263">
        <v>4.5</v>
      </c>
      <c r="M151" s="252">
        <v>178</v>
      </c>
      <c r="N151" s="261">
        <v>2.9699999999999998</v>
      </c>
      <c r="O151" s="263">
        <v>3</v>
      </c>
      <c r="P151" s="263">
        <v>2.5</v>
      </c>
      <c r="Q151" s="263">
        <v>6.6</v>
      </c>
    </row>
    <row r="152" spans="1:17" ht="12.75">
      <c r="A152" s="143" t="str">
        <f>HYPERLINK("http://ct.wwsires.com/bull/14HO07888","ACCELEXCITER")</f>
        <v>ACCELEXCITER</v>
      </c>
      <c r="B152" t="s">
        <v>280</v>
      </c>
      <c r="C152" t="s">
        <v>281</v>
      </c>
      <c r="D152">
        <v>2608</v>
      </c>
      <c r="E152">
        <v>1561</v>
      </c>
      <c r="F152">
        <v>87</v>
      </c>
      <c r="G152" s="261">
        <v>0.11</v>
      </c>
      <c r="H152">
        <v>51</v>
      </c>
      <c r="I152" s="261">
        <v>0.02</v>
      </c>
      <c r="J152" s="261">
        <v>1.76</v>
      </c>
      <c r="K152" s="261">
        <v>1.5699999999999998</v>
      </c>
      <c r="L152" s="263">
        <v>7.3</v>
      </c>
      <c r="M152" s="252">
        <v>178</v>
      </c>
      <c r="N152" s="261">
        <v>2.82</v>
      </c>
      <c r="O152" s="263">
        <v>2.2</v>
      </c>
      <c r="P152" s="263">
        <v>1.7</v>
      </c>
      <c r="Q152" s="263">
        <v>7.8</v>
      </c>
    </row>
    <row r="153" spans="1:17" ht="12.75">
      <c r="A153" s="144" t="str">
        <f>HYPERLINK("http://ct.wwsires.com/bull/14HO07827","ACCELREGAL")</f>
        <v>ACCELREGAL</v>
      </c>
      <c r="B153" t="s">
        <v>282</v>
      </c>
      <c r="C153" t="s">
        <v>283</v>
      </c>
      <c r="D153">
        <v>2621</v>
      </c>
      <c r="E153">
        <v>1545</v>
      </c>
      <c r="F153">
        <v>90</v>
      </c>
      <c r="G153" s="261">
        <v>0.12</v>
      </c>
      <c r="H153">
        <v>46</v>
      </c>
      <c r="I153" s="261">
        <v>0</v>
      </c>
      <c r="J153" s="261">
        <v>1.96</v>
      </c>
      <c r="K153" s="261">
        <v>2.36</v>
      </c>
      <c r="L153" s="263">
        <v>6.7</v>
      </c>
      <c r="M153" s="252">
        <v>178</v>
      </c>
      <c r="N153" s="261">
        <v>2.92</v>
      </c>
      <c r="O153" s="263">
        <v>1.5</v>
      </c>
      <c r="P153" s="263">
        <v>1.1</v>
      </c>
      <c r="Q153" s="263">
        <v>8.1</v>
      </c>
    </row>
    <row r="154" spans="1:17" ht="12.75">
      <c r="A154" s="145" t="str">
        <f>HYPERLINK("http://ct.wwsires.com/bull/7HO14060","SIMPLICITY-P*RC")</f>
        <v>SIMPLICITY-P*RC</v>
      </c>
      <c r="B154" t="s">
        <v>284</v>
      </c>
      <c r="C154" t="s">
        <v>285</v>
      </c>
      <c r="D154">
        <v>2768</v>
      </c>
      <c r="E154">
        <v>1812</v>
      </c>
      <c r="F154">
        <v>82</v>
      </c>
      <c r="G154" s="261">
        <v>0.05</v>
      </c>
      <c r="H154">
        <v>57</v>
      </c>
      <c r="I154" s="261">
        <v>0.01</v>
      </c>
      <c r="J154" s="261">
        <v>2.66</v>
      </c>
      <c r="K154" s="261">
        <v>2.8</v>
      </c>
      <c r="L154" s="263">
        <v>7</v>
      </c>
      <c r="M154" s="252">
        <v>178</v>
      </c>
      <c r="N154" s="261">
        <v>2.88</v>
      </c>
      <c r="O154" s="263">
        <v>1.5</v>
      </c>
      <c r="P154" s="263">
        <v>1.7</v>
      </c>
      <c r="Q154" s="263">
        <v>6.3</v>
      </c>
    </row>
    <row r="155" spans="1:17" ht="12.75">
      <c r="A155" s="146" t="str">
        <f>HYPERLINK("http://ct.wwsires.com/bull/7HO12778","MITCHELL")</f>
        <v>MITCHELL</v>
      </c>
      <c r="B155" t="s">
        <v>286</v>
      </c>
      <c r="C155" t="s">
        <v>287</v>
      </c>
      <c r="D155">
        <v>2674</v>
      </c>
      <c r="E155">
        <v>1967</v>
      </c>
      <c r="F155">
        <v>84</v>
      </c>
      <c r="G155" s="261">
        <v>0.04</v>
      </c>
      <c r="H155">
        <v>57</v>
      </c>
      <c r="I155" s="261">
        <v>-0.01</v>
      </c>
      <c r="J155" s="261">
        <v>2.67</v>
      </c>
      <c r="K155" s="261">
        <v>2.41</v>
      </c>
      <c r="L155" s="263">
        <v>5.4</v>
      </c>
      <c r="M155" s="252">
        <v>177</v>
      </c>
      <c r="N155" s="261">
        <v>2.96</v>
      </c>
      <c r="O155" s="263">
        <v>2.5</v>
      </c>
      <c r="P155" s="263">
        <v>2</v>
      </c>
      <c r="Q155" s="263">
        <v>8.3</v>
      </c>
    </row>
    <row r="156" spans="1:17" ht="12.75">
      <c r="A156" s="147" t="str">
        <f>HYPERLINK("http://ct.wwsires.com/bull/507HO13737","EINSTEIN")</f>
        <v>EINSTEIN</v>
      </c>
      <c r="B156" t="s">
        <v>288</v>
      </c>
      <c r="C156" t="s">
        <v>260</v>
      </c>
      <c r="D156">
        <v>2879</v>
      </c>
      <c r="E156">
        <v>1315</v>
      </c>
      <c r="F156">
        <v>74</v>
      </c>
      <c r="G156" s="261">
        <v>0.09</v>
      </c>
      <c r="H156">
        <v>58</v>
      </c>
      <c r="I156" s="261">
        <v>0.07</v>
      </c>
      <c r="J156" s="261">
        <v>2.64</v>
      </c>
      <c r="K156" s="261">
        <v>2.55</v>
      </c>
      <c r="L156" s="263">
        <v>8.6</v>
      </c>
      <c r="M156" s="252">
        <v>177</v>
      </c>
      <c r="N156" s="261">
        <v>2.7</v>
      </c>
      <c r="O156" s="263">
        <v>4.9</v>
      </c>
      <c r="P156" s="263">
        <v>4.9</v>
      </c>
      <c r="Q156" s="263">
        <v>6.6</v>
      </c>
    </row>
    <row r="157" spans="1:17" ht="12.75">
      <c r="A157" s="148" t="str">
        <f>HYPERLINK("http://ct.wwsires.com/bull/714HO00050","NEWGOLD")</f>
        <v>NEWGOLD</v>
      </c>
      <c r="B157" t="s">
        <v>289</v>
      </c>
      <c r="C157" t="s">
        <v>290</v>
      </c>
      <c r="D157">
        <v>2549</v>
      </c>
      <c r="E157">
        <v>1027</v>
      </c>
      <c r="F157">
        <v>82</v>
      </c>
      <c r="G157" s="261">
        <v>0.16</v>
      </c>
      <c r="H157">
        <v>53</v>
      </c>
      <c r="I157" s="261">
        <v>0.08</v>
      </c>
      <c r="J157" s="261">
        <v>2.46</v>
      </c>
      <c r="K157" s="261">
        <v>1.85</v>
      </c>
      <c r="L157" s="263">
        <v>5.5</v>
      </c>
      <c r="M157" s="252">
        <v>177</v>
      </c>
      <c r="N157" s="261">
        <v>2.95</v>
      </c>
      <c r="O157" s="263">
        <v>0.3</v>
      </c>
      <c r="P157" s="263">
        <v>0.2</v>
      </c>
      <c r="Q157" s="263">
        <v>7.8</v>
      </c>
    </row>
    <row r="158" spans="1:17" ht="12.75">
      <c r="A158" s="149" t="str">
        <f>HYPERLINK("http://ct.wwsires.com/bull/14HO07780","ACCELFORCE")</f>
        <v>ACCELFORCE</v>
      </c>
      <c r="B158" t="s">
        <v>291</v>
      </c>
      <c r="C158" t="s">
        <v>292</v>
      </c>
      <c r="D158">
        <v>2676</v>
      </c>
      <c r="E158">
        <v>2270</v>
      </c>
      <c r="F158">
        <v>75</v>
      </c>
      <c r="G158" s="261">
        <v>-0.03</v>
      </c>
      <c r="H158">
        <v>63</v>
      </c>
      <c r="I158" s="261">
        <v>-0.02</v>
      </c>
      <c r="J158" s="261">
        <v>1.8199999999999998</v>
      </c>
      <c r="K158" s="261">
        <v>1.74</v>
      </c>
      <c r="L158" s="263">
        <v>7.5</v>
      </c>
      <c r="M158" s="252">
        <v>177</v>
      </c>
      <c r="N158" s="261">
        <v>2.9</v>
      </c>
      <c r="O158" s="263">
        <v>2.8</v>
      </c>
      <c r="P158" s="263">
        <v>2.4</v>
      </c>
      <c r="Q158" s="263">
        <v>6.1</v>
      </c>
    </row>
    <row r="159" spans="1:17" ht="12.75">
      <c r="A159" s="150" t="str">
        <f>HYPERLINK("http://ct.wwsires.com/bull/7HO11519","RACKET")</f>
        <v>RACKET</v>
      </c>
      <c r="B159" t="s">
        <v>293</v>
      </c>
      <c r="C159" t="s">
        <v>294</v>
      </c>
      <c r="D159">
        <v>2541</v>
      </c>
      <c r="E159">
        <v>958</v>
      </c>
      <c r="F159">
        <v>69</v>
      </c>
      <c r="G159" s="261">
        <v>0.12</v>
      </c>
      <c r="H159">
        <v>52</v>
      </c>
      <c r="I159" s="261">
        <v>0.08</v>
      </c>
      <c r="J159" s="261">
        <v>0.8</v>
      </c>
      <c r="K159" s="261">
        <v>1.24</v>
      </c>
      <c r="L159" s="263">
        <v>7</v>
      </c>
      <c r="M159" s="252">
        <v>176</v>
      </c>
      <c r="N159" s="261">
        <v>2.95</v>
      </c>
      <c r="O159" s="263">
        <v>1.7</v>
      </c>
      <c r="P159" s="263">
        <v>1.5</v>
      </c>
      <c r="Q159" s="263">
        <v>7.6</v>
      </c>
    </row>
    <row r="160" spans="1:17" ht="12.75">
      <c r="A160" s="151" t="str">
        <f>HYPERLINK("http://ct.wwsires.com/bull/14HO07337","CHOPS")</f>
        <v>CHOPS</v>
      </c>
      <c r="B160" t="s">
        <v>295</v>
      </c>
      <c r="C160" t="s">
        <v>296</v>
      </c>
      <c r="D160">
        <v>2598</v>
      </c>
      <c r="E160">
        <v>958</v>
      </c>
      <c r="F160">
        <v>81</v>
      </c>
      <c r="G160" s="261">
        <v>0.17</v>
      </c>
      <c r="H160">
        <v>44</v>
      </c>
      <c r="I160" s="261">
        <v>0.05</v>
      </c>
      <c r="J160" s="261">
        <v>2.49</v>
      </c>
      <c r="K160" s="261">
        <v>2.81</v>
      </c>
      <c r="L160" s="263">
        <v>4</v>
      </c>
      <c r="M160" s="252">
        <v>176</v>
      </c>
      <c r="N160" s="261">
        <v>3.09</v>
      </c>
      <c r="O160" s="263">
        <v>2.3</v>
      </c>
      <c r="P160" s="263">
        <v>1.8</v>
      </c>
      <c r="Q160" s="263">
        <v>6.2</v>
      </c>
    </row>
    <row r="161" spans="1:17" ht="12.75">
      <c r="A161" s="152" t="str">
        <f>HYPERLINK("http://ct.wwsires.com/bull/7HO13746","LANTERN")</f>
        <v>LANTERN</v>
      </c>
      <c r="B161" t="s">
        <v>297</v>
      </c>
      <c r="C161" t="s">
        <v>298</v>
      </c>
      <c r="D161">
        <v>2816</v>
      </c>
      <c r="E161">
        <v>1547</v>
      </c>
      <c r="F161">
        <v>80</v>
      </c>
      <c r="G161" s="261">
        <v>0.08</v>
      </c>
      <c r="H161">
        <v>60</v>
      </c>
      <c r="I161" s="261">
        <v>0.05</v>
      </c>
      <c r="J161" s="261">
        <v>2.29</v>
      </c>
      <c r="K161" s="261">
        <v>1.74</v>
      </c>
      <c r="L161" s="263">
        <v>9.1</v>
      </c>
      <c r="M161" s="252">
        <v>176</v>
      </c>
      <c r="N161" s="261">
        <v>2.7199999999999998</v>
      </c>
      <c r="O161" s="263">
        <v>4.4</v>
      </c>
      <c r="P161" s="263">
        <v>4.6</v>
      </c>
      <c r="Q161" s="263">
        <v>8.3</v>
      </c>
    </row>
    <row r="162" spans="1:17" ht="12.75">
      <c r="A162" s="153" t="str">
        <f>HYPERLINK("http://ct.wwsires.com/bull/509HO12672","MACKAY")</f>
        <v>MACKAY</v>
      </c>
      <c r="B162" t="s">
        <v>299</v>
      </c>
      <c r="C162" t="s">
        <v>300</v>
      </c>
      <c r="D162">
        <v>2538</v>
      </c>
      <c r="E162">
        <v>2739</v>
      </c>
      <c r="F162">
        <v>59</v>
      </c>
      <c r="G162" s="261">
        <v>-0.15</v>
      </c>
      <c r="H162">
        <v>71</v>
      </c>
      <c r="I162" s="261">
        <v>-0.04</v>
      </c>
      <c r="J162" s="261">
        <v>1.52</v>
      </c>
      <c r="K162" s="261">
        <v>2.52</v>
      </c>
      <c r="L162" s="263">
        <v>5.6</v>
      </c>
      <c r="M162" s="252">
        <v>176</v>
      </c>
      <c r="N162" s="261">
        <v>3.07</v>
      </c>
      <c r="O162" s="263">
        <v>1.3</v>
      </c>
      <c r="P162" s="263">
        <v>1.2</v>
      </c>
      <c r="Q162" s="263">
        <v>6.6</v>
      </c>
    </row>
    <row r="163" spans="1:17" ht="12.75">
      <c r="A163" s="154" t="str">
        <f>HYPERLINK("http://ct.wwsires.com/bull/714HO00044","UTOPIA")</f>
        <v>UTOPIA</v>
      </c>
      <c r="B163" t="s">
        <v>301</v>
      </c>
      <c r="C163" t="s">
        <v>302</v>
      </c>
      <c r="D163">
        <v>2500</v>
      </c>
      <c r="E163">
        <v>1365</v>
      </c>
      <c r="F163">
        <v>77</v>
      </c>
      <c r="G163" s="261">
        <v>0.09</v>
      </c>
      <c r="H163">
        <v>51</v>
      </c>
      <c r="I163" s="261">
        <v>0.04</v>
      </c>
      <c r="J163" s="261">
        <v>1.54</v>
      </c>
      <c r="K163" s="261">
        <v>1.69</v>
      </c>
      <c r="L163" s="263">
        <v>4.4</v>
      </c>
      <c r="M163" s="252">
        <v>175</v>
      </c>
      <c r="N163" s="261">
        <v>2.96</v>
      </c>
      <c r="O163" s="263">
        <v>1.2</v>
      </c>
      <c r="P163" s="263">
        <v>1.1</v>
      </c>
      <c r="Q163" s="263">
        <v>6.2</v>
      </c>
    </row>
    <row r="164" spans="1:17" ht="12.75">
      <c r="A164" s="155" t="str">
        <f>HYPERLINK("http://ct.wwsires.com/bull/7HO12611","FERDINAND")</f>
        <v>FERDINAND</v>
      </c>
      <c r="B164" t="s">
        <v>303</v>
      </c>
      <c r="C164" t="s">
        <v>300</v>
      </c>
      <c r="D164">
        <v>2668</v>
      </c>
      <c r="E164">
        <v>2416</v>
      </c>
      <c r="F164">
        <v>64</v>
      </c>
      <c r="G164" s="261">
        <v>-0.09</v>
      </c>
      <c r="H164">
        <v>74</v>
      </c>
      <c r="I164" s="261">
        <v>0</v>
      </c>
      <c r="J164" s="261">
        <v>2.42</v>
      </c>
      <c r="K164" s="261">
        <v>2.7199999999999998</v>
      </c>
      <c r="L164" s="263">
        <v>5.3</v>
      </c>
      <c r="M164" s="252">
        <v>175</v>
      </c>
      <c r="N164" s="261">
        <v>3.04</v>
      </c>
      <c r="O164" s="263">
        <v>1.9</v>
      </c>
      <c r="P164" s="263">
        <v>2</v>
      </c>
      <c r="Q164" s="263">
        <v>7.2</v>
      </c>
    </row>
    <row r="165" spans="1:17" ht="12.75">
      <c r="A165" s="156" t="str">
        <f>HYPERLINK("http://ct.wwsires.com/bull/7HO11419","HEADLINER")</f>
        <v>HEADLINER</v>
      </c>
      <c r="B165" t="s">
        <v>304</v>
      </c>
      <c r="C165" t="s">
        <v>89</v>
      </c>
      <c r="D165">
        <v>2445</v>
      </c>
      <c r="E165">
        <v>1797</v>
      </c>
      <c r="F165">
        <v>72</v>
      </c>
      <c r="G165" s="261">
        <v>0.02</v>
      </c>
      <c r="H165">
        <v>63</v>
      </c>
      <c r="I165" s="261">
        <v>0.03</v>
      </c>
      <c r="J165" s="261">
        <v>2.23</v>
      </c>
      <c r="K165" s="261">
        <v>1.71</v>
      </c>
      <c r="L165" s="263">
        <v>1.9</v>
      </c>
      <c r="M165" s="252">
        <v>175</v>
      </c>
      <c r="N165" s="261">
        <v>3.17</v>
      </c>
      <c r="O165" s="263">
        <v>0.3</v>
      </c>
      <c r="P165" s="263">
        <v>-0.3</v>
      </c>
      <c r="Q165" s="263">
        <v>7.7</v>
      </c>
    </row>
    <row r="166" spans="1:17" ht="12.75">
      <c r="A166" s="157" t="str">
        <f>HYPERLINK("http://ct.wwsires.com/bull/14HO13943","CADILLAC")</f>
        <v>CADILLAC</v>
      </c>
      <c r="B166" t="s">
        <v>305</v>
      </c>
      <c r="C166" t="s">
        <v>306</v>
      </c>
      <c r="D166">
        <v>2826</v>
      </c>
      <c r="E166">
        <v>1400</v>
      </c>
      <c r="F166">
        <v>77</v>
      </c>
      <c r="G166" s="261">
        <v>0.09</v>
      </c>
      <c r="H166">
        <v>58</v>
      </c>
      <c r="I166" s="261">
        <v>0.06</v>
      </c>
      <c r="J166" s="261">
        <v>2.26</v>
      </c>
      <c r="K166" s="261">
        <v>2.5300000000000002</v>
      </c>
      <c r="L166" s="263">
        <v>9.7</v>
      </c>
      <c r="M166" s="252">
        <v>175</v>
      </c>
      <c r="N166" s="261">
        <v>2.75</v>
      </c>
      <c r="O166" s="263">
        <v>4</v>
      </c>
      <c r="P166" s="263">
        <v>3.5</v>
      </c>
      <c r="Q166" s="263">
        <v>8.7</v>
      </c>
    </row>
    <row r="167" spans="1:17" ht="12.75">
      <c r="A167" s="158" t="str">
        <f>HYPERLINK("http://ct.wwsires.com/bull/14HO07418","BELAIR")</f>
        <v>BELAIR</v>
      </c>
      <c r="B167" t="s">
        <v>307</v>
      </c>
      <c r="C167" t="s">
        <v>308</v>
      </c>
      <c r="D167">
        <v>2644</v>
      </c>
      <c r="E167">
        <v>1363</v>
      </c>
      <c r="F167">
        <v>81</v>
      </c>
      <c r="G167" s="261">
        <v>0.11</v>
      </c>
      <c r="H167">
        <v>54</v>
      </c>
      <c r="I167" s="261">
        <v>0.05</v>
      </c>
      <c r="J167" s="261">
        <v>2.06</v>
      </c>
      <c r="K167" s="261">
        <v>1.71</v>
      </c>
      <c r="L167" s="263">
        <v>6.6</v>
      </c>
      <c r="M167" s="252">
        <v>175</v>
      </c>
      <c r="N167" s="261">
        <v>3.01</v>
      </c>
      <c r="O167" s="263">
        <v>2.6</v>
      </c>
      <c r="P167" s="263">
        <v>2</v>
      </c>
      <c r="Q167" s="263">
        <v>6.9</v>
      </c>
    </row>
    <row r="168" spans="1:17" ht="12.75">
      <c r="A168" s="159" t="str">
        <f>HYPERLINK("http://ct.wwsires.com/bull/7HO13630","DESIGN")</f>
        <v>DESIGN</v>
      </c>
      <c r="B168" t="s">
        <v>309</v>
      </c>
      <c r="C168" t="s">
        <v>310</v>
      </c>
      <c r="D168">
        <v>2603</v>
      </c>
      <c r="E168">
        <v>2414</v>
      </c>
      <c r="F168">
        <v>67</v>
      </c>
      <c r="G168" s="261">
        <v>-0.09</v>
      </c>
      <c r="H168">
        <v>62</v>
      </c>
      <c r="I168" s="261">
        <v>-0.03</v>
      </c>
      <c r="J168" s="261">
        <v>2.13</v>
      </c>
      <c r="K168" s="261">
        <v>2.15</v>
      </c>
      <c r="L168" s="263">
        <v>6.4</v>
      </c>
      <c r="M168" s="252">
        <v>175</v>
      </c>
      <c r="N168" s="261">
        <v>2.93</v>
      </c>
      <c r="O168" s="263">
        <v>1.5</v>
      </c>
      <c r="P168" s="263">
        <v>1.1</v>
      </c>
      <c r="Q168" s="263">
        <v>6.8</v>
      </c>
    </row>
    <row r="169" spans="1:17" ht="12.75">
      <c r="A169" s="160" t="str">
        <f>HYPERLINK("http://ct.wwsires.com/bull/14HO07911","ACCELMALTA")</f>
        <v>ACCELMALTA</v>
      </c>
      <c r="B169" t="s">
        <v>311</v>
      </c>
      <c r="C169" t="s">
        <v>312</v>
      </c>
      <c r="D169">
        <v>2752</v>
      </c>
      <c r="E169">
        <v>1084</v>
      </c>
      <c r="F169">
        <v>91</v>
      </c>
      <c r="G169" s="261">
        <v>0.18</v>
      </c>
      <c r="H169">
        <v>40</v>
      </c>
      <c r="I169" s="261">
        <v>0.02</v>
      </c>
      <c r="J169" s="261">
        <v>1.9100000000000001</v>
      </c>
      <c r="K169" s="261">
        <v>2.29</v>
      </c>
      <c r="L169" s="263">
        <v>8.8</v>
      </c>
      <c r="M169" s="252">
        <v>174</v>
      </c>
      <c r="N169" s="261">
        <v>2.77</v>
      </c>
      <c r="O169" s="263">
        <v>4</v>
      </c>
      <c r="P169" s="263">
        <v>4</v>
      </c>
      <c r="Q169" s="263">
        <v>6.2</v>
      </c>
    </row>
    <row r="170" spans="1:17" ht="12.75">
      <c r="A170" s="161" t="str">
        <f>HYPERLINK("http://ct.wwsires.com/bull/14HO07738","VICTORIOUS")</f>
        <v>VICTORIOUS</v>
      </c>
      <c r="B170" t="s">
        <v>313</v>
      </c>
      <c r="C170" t="s">
        <v>314</v>
      </c>
      <c r="D170">
        <v>2591</v>
      </c>
      <c r="E170">
        <v>2432</v>
      </c>
      <c r="F170">
        <v>73</v>
      </c>
      <c r="G170" s="261">
        <v>-0.06</v>
      </c>
      <c r="H170">
        <v>68</v>
      </c>
      <c r="I170" s="261">
        <v>-0.02</v>
      </c>
      <c r="J170" s="261">
        <v>2.13</v>
      </c>
      <c r="K170" s="261">
        <v>1.85</v>
      </c>
      <c r="L170" s="263">
        <v>5.8</v>
      </c>
      <c r="M170" s="252">
        <v>174</v>
      </c>
      <c r="N170" s="261">
        <v>2.9</v>
      </c>
      <c r="O170" s="263">
        <v>0.8</v>
      </c>
      <c r="P170" s="263">
        <v>0.6</v>
      </c>
      <c r="Q170" s="263">
        <v>7.5</v>
      </c>
    </row>
    <row r="171" spans="1:17" ht="12.75">
      <c r="A171" s="162" t="str">
        <f>HYPERLINK("http://ct.wwsires.com/bull/7HO12787","KING ROYAL")</f>
        <v>KING ROYAL</v>
      </c>
      <c r="B171" t="s">
        <v>315</v>
      </c>
      <c r="C171" t="s">
        <v>230</v>
      </c>
      <c r="D171">
        <v>2723</v>
      </c>
      <c r="E171">
        <v>1103</v>
      </c>
      <c r="F171">
        <v>79</v>
      </c>
      <c r="G171" s="261">
        <v>0.14</v>
      </c>
      <c r="H171">
        <v>54</v>
      </c>
      <c r="I171" s="261">
        <v>0.07</v>
      </c>
      <c r="J171" s="261">
        <v>3.2</v>
      </c>
      <c r="K171" s="261">
        <v>2.81</v>
      </c>
      <c r="L171" s="263">
        <v>5.5</v>
      </c>
      <c r="M171" s="252">
        <v>174</v>
      </c>
      <c r="N171" s="261">
        <v>2.85</v>
      </c>
      <c r="O171" s="263">
        <v>1.9</v>
      </c>
      <c r="P171" s="263">
        <v>1.2</v>
      </c>
      <c r="Q171" s="263">
        <v>8.8</v>
      </c>
    </row>
    <row r="172" spans="1:17" ht="12.75">
      <c r="A172" s="163" t="str">
        <f>HYPERLINK("http://ct.wwsires.com/bull/7HO12858","CYCLONE")</f>
        <v>CYCLONE</v>
      </c>
      <c r="B172" t="s">
        <v>316</v>
      </c>
      <c r="C172" t="s">
        <v>317</v>
      </c>
      <c r="D172">
        <v>2739</v>
      </c>
      <c r="E172">
        <v>506</v>
      </c>
      <c r="F172">
        <v>91</v>
      </c>
      <c r="G172" s="261">
        <v>0.27</v>
      </c>
      <c r="H172">
        <v>34</v>
      </c>
      <c r="I172" s="261">
        <v>0.07</v>
      </c>
      <c r="J172" s="261">
        <v>1.8399999999999999</v>
      </c>
      <c r="K172" s="261">
        <v>2.05</v>
      </c>
      <c r="L172" s="263">
        <v>8.9</v>
      </c>
      <c r="M172" s="252">
        <v>173</v>
      </c>
      <c r="N172" s="261">
        <v>2.77</v>
      </c>
      <c r="O172" s="263">
        <v>4.6</v>
      </c>
      <c r="P172" s="263">
        <v>4.3</v>
      </c>
      <c r="Q172" s="263">
        <v>7.8</v>
      </c>
    </row>
    <row r="173" spans="1:17" ht="12.75">
      <c r="A173" s="164" t="str">
        <f>HYPERLINK("http://ct.wwsires.com/bull/507HO13608","MARQUEE")</f>
        <v>MARQUEE</v>
      </c>
      <c r="B173" t="s">
        <v>318</v>
      </c>
      <c r="C173" t="s">
        <v>319</v>
      </c>
      <c r="D173">
        <v>2812</v>
      </c>
      <c r="E173">
        <v>1513</v>
      </c>
      <c r="F173">
        <v>57</v>
      </c>
      <c r="G173" s="261">
        <v>0</v>
      </c>
      <c r="H173">
        <v>59</v>
      </c>
      <c r="I173" s="261">
        <v>0.05</v>
      </c>
      <c r="J173" s="261">
        <v>1.58</v>
      </c>
      <c r="K173" s="261">
        <v>2.09</v>
      </c>
      <c r="L173" s="263">
        <v>11.6</v>
      </c>
      <c r="M173" s="252">
        <v>173</v>
      </c>
      <c r="N173" s="261">
        <v>2.86</v>
      </c>
      <c r="O173" s="263">
        <v>5.3</v>
      </c>
      <c r="P173" s="263">
        <v>5.3</v>
      </c>
      <c r="Q173" s="263">
        <v>5.8</v>
      </c>
    </row>
    <row r="174" spans="1:17" ht="12.75">
      <c r="A174" s="165" t="str">
        <f>HYPERLINK("http://ct.wwsires.com/bull/14HO13750","HAPPY")</f>
        <v>HAPPY</v>
      </c>
      <c r="B174" t="s">
        <v>320</v>
      </c>
      <c r="C174" t="s">
        <v>321</v>
      </c>
      <c r="D174">
        <v>2687</v>
      </c>
      <c r="E174">
        <v>2383</v>
      </c>
      <c r="F174">
        <v>71</v>
      </c>
      <c r="G174" s="261">
        <v>-0.07</v>
      </c>
      <c r="H174">
        <v>73</v>
      </c>
      <c r="I174" s="261">
        <v>0.01</v>
      </c>
      <c r="J174" s="261">
        <v>2.7199999999999998</v>
      </c>
      <c r="K174" s="261">
        <v>2.08</v>
      </c>
      <c r="L174" s="263">
        <v>5.4</v>
      </c>
      <c r="M174" s="252">
        <v>173</v>
      </c>
      <c r="N174" s="261">
        <v>3</v>
      </c>
      <c r="O174" s="263">
        <v>2.2</v>
      </c>
      <c r="P174" s="263">
        <v>1.9</v>
      </c>
      <c r="Q174" s="263">
        <v>6.3</v>
      </c>
    </row>
    <row r="175" spans="1:17" ht="12.75">
      <c r="A175" s="166" t="str">
        <f>HYPERLINK("http://ct.wwsires.com/bull/7HO13328","YALE")</f>
        <v>YALE</v>
      </c>
      <c r="B175" t="s">
        <v>322</v>
      </c>
      <c r="C175" t="s">
        <v>189</v>
      </c>
      <c r="D175">
        <v>2660</v>
      </c>
      <c r="E175">
        <v>1560</v>
      </c>
      <c r="F175">
        <v>72</v>
      </c>
      <c r="G175" s="261">
        <v>0.05</v>
      </c>
      <c r="H175">
        <v>57</v>
      </c>
      <c r="I175" s="261">
        <v>0.04</v>
      </c>
      <c r="J175" s="261">
        <v>1.31</v>
      </c>
      <c r="K175" s="261">
        <v>1.55</v>
      </c>
      <c r="L175" s="263">
        <v>8.7</v>
      </c>
      <c r="M175" s="252">
        <v>173</v>
      </c>
      <c r="N175" s="261">
        <v>3.01</v>
      </c>
      <c r="O175" s="263">
        <v>3.6</v>
      </c>
      <c r="P175" s="263">
        <v>3.1</v>
      </c>
      <c r="Q175" s="263">
        <v>6.3</v>
      </c>
    </row>
    <row r="176" spans="1:17" ht="12.75">
      <c r="A176" s="167" t="str">
        <f>HYPERLINK("http://ct.wwsires.com/bull/7HO12951","HAIL")</f>
        <v>HAIL</v>
      </c>
      <c r="B176" t="s">
        <v>323</v>
      </c>
      <c r="C176" t="s">
        <v>324</v>
      </c>
      <c r="D176">
        <v>2772</v>
      </c>
      <c r="E176">
        <v>1191</v>
      </c>
      <c r="F176">
        <v>70</v>
      </c>
      <c r="G176" s="261">
        <v>0.09</v>
      </c>
      <c r="H176">
        <v>51</v>
      </c>
      <c r="I176" s="261">
        <v>0.06</v>
      </c>
      <c r="J176" s="261">
        <v>2.21</v>
      </c>
      <c r="K176" s="261">
        <v>2.83</v>
      </c>
      <c r="L176" s="263">
        <v>8.4</v>
      </c>
      <c r="M176" s="252">
        <v>173</v>
      </c>
      <c r="N176" s="261">
        <v>2.96</v>
      </c>
      <c r="O176" s="263">
        <v>4.5</v>
      </c>
      <c r="P176" s="263">
        <v>4.4</v>
      </c>
      <c r="Q176" s="263">
        <v>6.5</v>
      </c>
    </row>
    <row r="177" spans="1:17" ht="12.75">
      <c r="A177" s="168" t="str">
        <f>HYPERLINK("http://ct.wwsires.com/bull/7HO13341","BON JOVI")</f>
        <v>BON JOVI</v>
      </c>
      <c r="B177" t="s">
        <v>325</v>
      </c>
      <c r="C177" t="s">
        <v>326</v>
      </c>
      <c r="D177">
        <v>2522</v>
      </c>
      <c r="E177">
        <v>1443</v>
      </c>
      <c r="F177">
        <v>61</v>
      </c>
      <c r="G177" s="261">
        <v>0.03</v>
      </c>
      <c r="H177">
        <v>61</v>
      </c>
      <c r="I177" s="261">
        <v>0.07</v>
      </c>
      <c r="J177" s="261">
        <v>1.09</v>
      </c>
      <c r="K177" s="261">
        <v>0.75</v>
      </c>
      <c r="L177" s="263">
        <v>7.6</v>
      </c>
      <c r="M177" s="252">
        <v>173</v>
      </c>
      <c r="N177" s="261">
        <v>2.99</v>
      </c>
      <c r="O177" s="263">
        <v>2.6</v>
      </c>
      <c r="P177" s="263">
        <v>2.1</v>
      </c>
      <c r="Q177" s="263">
        <v>7</v>
      </c>
    </row>
    <row r="178" spans="1:17" ht="12.75">
      <c r="A178" s="169" t="str">
        <f>HYPERLINK("http://ct.wwsires.com/bull/14HO13858","WESLEY")</f>
        <v>WESLEY</v>
      </c>
      <c r="B178" t="s">
        <v>327</v>
      </c>
      <c r="C178" t="s">
        <v>328</v>
      </c>
      <c r="D178">
        <v>2754</v>
      </c>
      <c r="E178">
        <v>1621</v>
      </c>
      <c r="F178">
        <v>75</v>
      </c>
      <c r="G178" s="261">
        <v>0.05</v>
      </c>
      <c r="H178">
        <v>61</v>
      </c>
      <c r="I178" s="261">
        <v>0.05</v>
      </c>
      <c r="J178" s="261">
        <v>2.4</v>
      </c>
      <c r="K178" s="261">
        <v>2.49</v>
      </c>
      <c r="L178" s="263">
        <v>8.7</v>
      </c>
      <c r="M178" s="252">
        <v>173</v>
      </c>
      <c r="N178" s="261">
        <v>2.84</v>
      </c>
      <c r="O178" s="263">
        <v>2.5</v>
      </c>
      <c r="P178" s="263">
        <v>2</v>
      </c>
      <c r="Q178" s="263">
        <v>8.2</v>
      </c>
    </row>
    <row r="179" spans="1:17" ht="12.75">
      <c r="A179" s="170" t="str">
        <f>HYPERLINK("http://ct.wwsires.com/bull/14HO07801","HAROLDO")</f>
        <v>HAROLDO</v>
      </c>
      <c r="B179" t="s">
        <v>329</v>
      </c>
      <c r="C179" t="s">
        <v>330</v>
      </c>
      <c r="D179">
        <v>2679</v>
      </c>
      <c r="E179">
        <v>865</v>
      </c>
      <c r="F179">
        <v>77</v>
      </c>
      <c r="G179" s="261">
        <v>0.16</v>
      </c>
      <c r="H179">
        <v>48</v>
      </c>
      <c r="I179" s="261">
        <v>0.08</v>
      </c>
      <c r="J179" s="261">
        <v>1.97</v>
      </c>
      <c r="K179" s="261">
        <v>2.54</v>
      </c>
      <c r="L179" s="263">
        <v>6</v>
      </c>
      <c r="M179" s="252">
        <v>172</v>
      </c>
      <c r="N179" s="261">
        <v>2.87</v>
      </c>
      <c r="O179" s="263">
        <v>3.7</v>
      </c>
      <c r="P179" s="263">
        <v>3.5</v>
      </c>
      <c r="Q179" s="263">
        <v>7.3</v>
      </c>
    </row>
    <row r="180" spans="1:17" ht="12.75">
      <c r="A180" s="171" t="str">
        <f>HYPERLINK("http://ct.wwsires.com/bull/7HO14046","TOTALLY")</f>
        <v>TOTALLY</v>
      </c>
      <c r="B180" t="s">
        <v>331</v>
      </c>
      <c r="C180" t="s">
        <v>332</v>
      </c>
      <c r="D180">
        <v>2830</v>
      </c>
      <c r="E180">
        <v>1515</v>
      </c>
      <c r="F180">
        <v>75</v>
      </c>
      <c r="G180" s="261">
        <v>0.07</v>
      </c>
      <c r="H180">
        <v>51</v>
      </c>
      <c r="I180" s="261">
        <v>0.02</v>
      </c>
      <c r="J180" s="261">
        <v>2.7199999999999998</v>
      </c>
      <c r="K180" s="261">
        <v>2.74</v>
      </c>
      <c r="L180" s="263">
        <v>8.6</v>
      </c>
      <c r="M180" s="252">
        <v>172</v>
      </c>
      <c r="N180" s="261">
        <v>2.7</v>
      </c>
      <c r="O180" s="263">
        <v>3.6</v>
      </c>
      <c r="P180" s="263">
        <v>3.5</v>
      </c>
      <c r="Q180" s="263">
        <v>6.2</v>
      </c>
    </row>
    <row r="181" spans="1:17" ht="12.75">
      <c r="A181" s="172" t="str">
        <f>HYPERLINK("http://ct.wwsires.com/bull/14HO07906","ACCELBLOWOUT")</f>
        <v>ACCELBLOWOUT</v>
      </c>
      <c r="B181" t="s">
        <v>333</v>
      </c>
      <c r="C181" t="s">
        <v>334</v>
      </c>
      <c r="D181">
        <v>2585</v>
      </c>
      <c r="E181">
        <v>810</v>
      </c>
      <c r="F181">
        <v>79</v>
      </c>
      <c r="G181" s="261">
        <v>0.18</v>
      </c>
      <c r="H181">
        <v>37</v>
      </c>
      <c r="I181" s="261">
        <v>0.04</v>
      </c>
      <c r="J181" s="261">
        <v>1.21</v>
      </c>
      <c r="K181" s="261">
        <v>2.33</v>
      </c>
      <c r="L181" s="263">
        <v>8.5</v>
      </c>
      <c r="M181" s="252">
        <v>172</v>
      </c>
      <c r="N181" s="261">
        <v>2.7800000000000002</v>
      </c>
      <c r="O181" s="263">
        <v>2.3</v>
      </c>
      <c r="P181" s="263">
        <v>2.2</v>
      </c>
      <c r="Q181" s="263">
        <v>7</v>
      </c>
    </row>
    <row r="182" spans="1:17" ht="12.75">
      <c r="A182" s="173" t="str">
        <f>HYPERLINK("http://ct.wwsires.com/bull/7HO13934","WADE")</f>
        <v>WADE</v>
      </c>
      <c r="B182" t="s">
        <v>335</v>
      </c>
      <c r="C182" t="s">
        <v>336</v>
      </c>
      <c r="D182">
        <v>2745</v>
      </c>
      <c r="E182">
        <v>1418</v>
      </c>
      <c r="F182">
        <v>85</v>
      </c>
      <c r="G182" s="261">
        <v>0.12</v>
      </c>
      <c r="H182">
        <v>54</v>
      </c>
      <c r="I182" s="261">
        <v>0.04</v>
      </c>
      <c r="J182" s="261">
        <v>3.32</v>
      </c>
      <c r="K182" s="261">
        <v>2.82</v>
      </c>
      <c r="L182" s="263">
        <v>4.5</v>
      </c>
      <c r="M182" s="252">
        <v>172</v>
      </c>
      <c r="N182" s="261">
        <v>3.1</v>
      </c>
      <c r="O182" s="263">
        <v>3.3</v>
      </c>
      <c r="P182" s="263">
        <v>3.2</v>
      </c>
      <c r="Q182" s="263">
        <v>7.2</v>
      </c>
    </row>
    <row r="183" spans="1:17" ht="12.75">
      <c r="A183" s="174" t="str">
        <f>HYPERLINK("http://ct.wwsires.com/bull/7HO13727","JEFRI")</f>
        <v>JEFRI</v>
      </c>
      <c r="B183" t="s">
        <v>337</v>
      </c>
      <c r="C183" t="s">
        <v>338</v>
      </c>
      <c r="D183">
        <v>2804</v>
      </c>
      <c r="E183">
        <v>1710</v>
      </c>
      <c r="F183">
        <v>62</v>
      </c>
      <c r="G183" s="261">
        <v>-0.01</v>
      </c>
      <c r="H183">
        <v>71</v>
      </c>
      <c r="I183" s="261">
        <v>0.07</v>
      </c>
      <c r="J183" s="261">
        <v>1.49</v>
      </c>
      <c r="K183" s="261">
        <v>1.49</v>
      </c>
      <c r="L183" s="263">
        <v>9.6</v>
      </c>
      <c r="M183" s="252">
        <v>172</v>
      </c>
      <c r="N183" s="261">
        <v>2.82</v>
      </c>
      <c r="O183" s="263">
        <v>5.6</v>
      </c>
      <c r="P183" s="263">
        <v>6</v>
      </c>
      <c r="Q183" s="263">
        <v>8.1</v>
      </c>
    </row>
    <row r="184" spans="1:17" ht="12.75">
      <c r="A184" s="175" t="str">
        <f>HYPERLINK("http://ct.wwsires.com/bull/7HO14039","CADE")</f>
        <v>CADE</v>
      </c>
      <c r="B184" t="s">
        <v>339</v>
      </c>
      <c r="C184" t="s">
        <v>340</v>
      </c>
      <c r="D184">
        <v>2800</v>
      </c>
      <c r="E184">
        <v>657</v>
      </c>
      <c r="F184">
        <v>77</v>
      </c>
      <c r="G184" s="261">
        <v>0.2</v>
      </c>
      <c r="H184">
        <v>46</v>
      </c>
      <c r="I184" s="261">
        <v>0.1</v>
      </c>
      <c r="J184" s="261">
        <v>2.02</v>
      </c>
      <c r="K184" s="261">
        <v>2.69</v>
      </c>
      <c r="L184" s="263">
        <v>9.4</v>
      </c>
      <c r="M184" s="252">
        <v>172</v>
      </c>
      <c r="N184" s="261">
        <v>2.92</v>
      </c>
      <c r="O184" s="263">
        <v>4.2</v>
      </c>
      <c r="P184" s="263">
        <v>4.3</v>
      </c>
      <c r="Q184" s="263">
        <v>6</v>
      </c>
    </row>
    <row r="185" spans="1:17" ht="12.75">
      <c r="A185" s="176" t="str">
        <f>HYPERLINK("http://ct.wwsires.com/bull/7HO12834","SATCHEL")</f>
        <v>SATCHEL</v>
      </c>
      <c r="B185" t="s">
        <v>341</v>
      </c>
      <c r="C185" t="s">
        <v>342</v>
      </c>
      <c r="D185">
        <v>2590</v>
      </c>
      <c r="E185">
        <v>1890</v>
      </c>
      <c r="F185">
        <v>70</v>
      </c>
      <c r="G185" s="261">
        <v>0</v>
      </c>
      <c r="H185">
        <v>56</v>
      </c>
      <c r="I185" s="261">
        <v>0</v>
      </c>
      <c r="J185" s="261">
        <v>1.53</v>
      </c>
      <c r="K185" s="261">
        <v>1.74</v>
      </c>
      <c r="L185" s="263">
        <v>7.5</v>
      </c>
      <c r="M185" s="252">
        <v>172</v>
      </c>
      <c r="N185" s="261">
        <v>2.94</v>
      </c>
      <c r="O185" s="263">
        <v>2.5</v>
      </c>
      <c r="P185" s="263">
        <v>2.2</v>
      </c>
      <c r="Q185" s="263">
        <v>5.6</v>
      </c>
    </row>
    <row r="186" spans="1:17" ht="12.75">
      <c r="A186" s="177" t="str">
        <f>HYPERLINK("http://ct.wwsires.com/bull/7HO12999","BRENNAN")</f>
        <v>BRENNAN</v>
      </c>
      <c r="B186" t="s">
        <v>343</v>
      </c>
      <c r="C186" t="s">
        <v>344</v>
      </c>
      <c r="D186">
        <v>2799</v>
      </c>
      <c r="E186">
        <v>1454</v>
      </c>
      <c r="F186">
        <v>81</v>
      </c>
      <c r="G186" s="261">
        <v>0.1</v>
      </c>
      <c r="H186">
        <v>52</v>
      </c>
      <c r="I186" s="261">
        <v>0.03</v>
      </c>
      <c r="J186" s="261">
        <v>2.61</v>
      </c>
      <c r="K186" s="261">
        <v>2.99</v>
      </c>
      <c r="L186" s="263">
        <v>7.9</v>
      </c>
      <c r="M186" s="252">
        <v>172</v>
      </c>
      <c r="N186" s="261">
        <v>2.76</v>
      </c>
      <c r="O186" s="263">
        <v>3</v>
      </c>
      <c r="P186" s="263">
        <v>3.1</v>
      </c>
      <c r="Q186" s="263">
        <v>7.2</v>
      </c>
    </row>
    <row r="187" spans="1:17" ht="12.75">
      <c r="A187" s="178" t="str">
        <f>HYPERLINK("http://ct.wwsires.com/bull/7HO13774","CHANCELLOR*RC")</f>
        <v>CHANCELLOR*RC</v>
      </c>
      <c r="B187" t="s">
        <v>345</v>
      </c>
      <c r="C187" t="s">
        <v>346</v>
      </c>
      <c r="D187">
        <v>2660</v>
      </c>
      <c r="E187">
        <v>2017</v>
      </c>
      <c r="F187">
        <v>58</v>
      </c>
      <c r="G187" s="261">
        <v>-0.06</v>
      </c>
      <c r="H187">
        <v>70</v>
      </c>
      <c r="I187" s="261">
        <v>0.03</v>
      </c>
      <c r="J187" s="261">
        <v>1.07</v>
      </c>
      <c r="K187" s="261">
        <v>1.55</v>
      </c>
      <c r="L187" s="263">
        <v>9.2</v>
      </c>
      <c r="M187" s="252">
        <v>172</v>
      </c>
      <c r="N187" s="261">
        <v>2.73</v>
      </c>
      <c r="O187" s="263">
        <v>2.6</v>
      </c>
      <c r="P187" s="263">
        <v>2.6</v>
      </c>
      <c r="Q187" s="263">
        <v>7.6</v>
      </c>
    </row>
    <row r="188" spans="1:17" ht="12.75">
      <c r="A188" s="179" t="str">
        <f>HYPERLINK("http://ct.wwsires.com/bull/7HO12903","MAGEE")</f>
        <v>MAGEE</v>
      </c>
      <c r="B188" t="s">
        <v>347</v>
      </c>
      <c r="C188" t="s">
        <v>348</v>
      </c>
      <c r="D188">
        <v>2630</v>
      </c>
      <c r="E188">
        <v>961</v>
      </c>
      <c r="F188">
        <v>70</v>
      </c>
      <c r="G188" s="261">
        <v>0.13</v>
      </c>
      <c r="H188">
        <v>52</v>
      </c>
      <c r="I188" s="261">
        <v>0.08</v>
      </c>
      <c r="J188" s="261">
        <v>1.69</v>
      </c>
      <c r="K188" s="261">
        <v>1.8199999999999998</v>
      </c>
      <c r="L188" s="263">
        <v>8.8</v>
      </c>
      <c r="M188" s="252">
        <v>171</v>
      </c>
      <c r="N188" s="261">
        <v>2.75</v>
      </c>
      <c r="O188" s="263">
        <v>2.2</v>
      </c>
      <c r="P188" s="263">
        <v>1.9</v>
      </c>
      <c r="Q188" s="263">
        <v>7.2</v>
      </c>
    </row>
    <row r="189" spans="1:17" ht="12.75">
      <c r="A189" s="180" t="str">
        <f>HYPERLINK("http://ct.wwsires.com/bull/7HO12899","SLAMDUNK")</f>
        <v>SLAMDUNK</v>
      </c>
      <c r="B189" t="s">
        <v>349</v>
      </c>
      <c r="C189" t="s">
        <v>187</v>
      </c>
      <c r="D189">
        <v>2756</v>
      </c>
      <c r="E189">
        <v>1304</v>
      </c>
      <c r="F189">
        <v>80</v>
      </c>
      <c r="G189" s="261">
        <v>0.11</v>
      </c>
      <c r="H189">
        <v>52</v>
      </c>
      <c r="I189" s="261">
        <v>0.04</v>
      </c>
      <c r="J189" s="261">
        <v>1.97</v>
      </c>
      <c r="K189" s="261">
        <v>2.38</v>
      </c>
      <c r="L189" s="263">
        <v>8.4</v>
      </c>
      <c r="M189" s="252">
        <v>171</v>
      </c>
      <c r="N189" s="261">
        <v>2.66</v>
      </c>
      <c r="O189" s="263">
        <v>4</v>
      </c>
      <c r="P189" s="263">
        <v>3.8</v>
      </c>
      <c r="Q189" s="263">
        <v>9.2</v>
      </c>
    </row>
    <row r="190" spans="1:17" ht="12.75">
      <c r="A190" s="181" t="str">
        <f>HYPERLINK("http://ct.wwsires.com/bull/7HO11833","RENNIE")</f>
        <v>RENNIE</v>
      </c>
      <c r="B190" t="s">
        <v>350</v>
      </c>
      <c r="C190" t="s">
        <v>89</v>
      </c>
      <c r="D190">
        <v>2468</v>
      </c>
      <c r="E190">
        <v>1252</v>
      </c>
      <c r="F190">
        <v>75</v>
      </c>
      <c r="G190" s="261">
        <v>0.1</v>
      </c>
      <c r="H190">
        <v>42</v>
      </c>
      <c r="I190" s="261">
        <v>0.01</v>
      </c>
      <c r="J190" s="261">
        <v>1.13</v>
      </c>
      <c r="K190" s="261">
        <v>1.94</v>
      </c>
      <c r="L190" s="263">
        <v>6.5</v>
      </c>
      <c r="M190" s="252">
        <v>171</v>
      </c>
      <c r="N190" s="261">
        <v>3.04</v>
      </c>
      <c r="O190" s="263">
        <v>1.4</v>
      </c>
      <c r="P190" s="263">
        <v>1</v>
      </c>
      <c r="Q190" s="263">
        <v>6.6</v>
      </c>
    </row>
    <row r="191" spans="1:17" ht="12.75">
      <c r="A191" s="182" t="str">
        <f>HYPERLINK("http://ct.wwsires.com/bull/14HO07834","BRONZE")</f>
        <v>BRONZE</v>
      </c>
      <c r="B191" t="s">
        <v>351</v>
      </c>
      <c r="C191" t="s">
        <v>352</v>
      </c>
      <c r="D191">
        <v>2662</v>
      </c>
      <c r="E191">
        <v>1047</v>
      </c>
      <c r="F191">
        <v>83</v>
      </c>
      <c r="G191" s="261">
        <v>0.16</v>
      </c>
      <c r="H191">
        <v>49</v>
      </c>
      <c r="I191" s="261">
        <v>0.06</v>
      </c>
      <c r="J191" s="261">
        <v>1.9100000000000001</v>
      </c>
      <c r="K191" s="261">
        <v>2.38</v>
      </c>
      <c r="L191" s="263">
        <v>6.5</v>
      </c>
      <c r="M191" s="252">
        <v>171</v>
      </c>
      <c r="N191" s="261">
        <v>2.71</v>
      </c>
      <c r="O191" s="263">
        <v>2</v>
      </c>
      <c r="P191" s="263">
        <v>2.2</v>
      </c>
      <c r="Q191" s="263">
        <v>8.5</v>
      </c>
    </row>
    <row r="192" spans="1:17" ht="12.75">
      <c r="A192" s="183" t="str">
        <f>HYPERLINK("http://ct.wwsires.com/bull/14HO07870","MOPALL")</f>
        <v>MOPALL</v>
      </c>
      <c r="B192" t="s">
        <v>353</v>
      </c>
      <c r="C192" t="s">
        <v>354</v>
      </c>
      <c r="D192">
        <v>2616</v>
      </c>
      <c r="E192">
        <v>1102</v>
      </c>
      <c r="F192">
        <v>81</v>
      </c>
      <c r="G192" s="261">
        <v>0.15</v>
      </c>
      <c r="H192">
        <v>42</v>
      </c>
      <c r="I192" s="261">
        <v>0.03</v>
      </c>
      <c r="J192" s="261">
        <v>1.62</v>
      </c>
      <c r="K192" s="261">
        <v>1.85</v>
      </c>
      <c r="L192" s="263">
        <v>7.7</v>
      </c>
      <c r="M192" s="252">
        <v>170</v>
      </c>
      <c r="N192" s="261">
        <v>2.93</v>
      </c>
      <c r="O192" s="263">
        <v>2.3</v>
      </c>
      <c r="P192" s="263">
        <v>2.6</v>
      </c>
      <c r="Q192" s="263">
        <v>5.9</v>
      </c>
    </row>
    <row r="193" spans="1:17" ht="12.75">
      <c r="A193" s="184" t="str">
        <f>HYPERLINK("http://ct.wwsires.com/bull/14HO07861","RAGE")</f>
        <v>RAGE</v>
      </c>
      <c r="B193" t="s">
        <v>355</v>
      </c>
      <c r="C193" t="s">
        <v>356</v>
      </c>
      <c r="D193">
        <v>2612</v>
      </c>
      <c r="E193">
        <v>1263</v>
      </c>
      <c r="F193">
        <v>87</v>
      </c>
      <c r="G193" s="261">
        <v>0.15</v>
      </c>
      <c r="H193">
        <v>49</v>
      </c>
      <c r="I193" s="261">
        <v>0.04</v>
      </c>
      <c r="J193" s="261">
        <v>2.43</v>
      </c>
      <c r="K193" s="261">
        <v>2.46</v>
      </c>
      <c r="L193" s="263">
        <v>5.3</v>
      </c>
      <c r="M193" s="252">
        <v>170</v>
      </c>
      <c r="N193" s="261">
        <v>2.66</v>
      </c>
      <c r="O193" s="263">
        <v>0.3</v>
      </c>
      <c r="P193" s="263">
        <v>0</v>
      </c>
      <c r="Q193" s="263">
        <v>8</v>
      </c>
    </row>
    <row r="194" spans="1:17" ht="12.75">
      <c r="A194" s="185" t="str">
        <f>HYPERLINK("http://ct.wwsires.com/bull/250HO01009","BREWMASTER")</f>
        <v>BREWMASTER</v>
      </c>
      <c r="B194" t="s">
        <v>357</v>
      </c>
      <c r="C194" t="s">
        <v>358</v>
      </c>
      <c r="D194">
        <v>2506</v>
      </c>
      <c r="E194">
        <v>882</v>
      </c>
      <c r="F194">
        <v>98</v>
      </c>
      <c r="G194" s="261">
        <v>0.24</v>
      </c>
      <c r="H194">
        <v>34</v>
      </c>
      <c r="I194" s="261">
        <v>0.03</v>
      </c>
      <c r="J194" s="261">
        <v>1.62</v>
      </c>
      <c r="K194" s="261">
        <v>1.12</v>
      </c>
      <c r="L194" s="263">
        <v>4.6</v>
      </c>
      <c r="M194" s="252">
        <v>169</v>
      </c>
      <c r="N194" s="261">
        <v>2.76</v>
      </c>
      <c r="O194" s="263">
        <v>2</v>
      </c>
      <c r="P194" s="263">
        <v>1.7</v>
      </c>
      <c r="Q194" s="263">
        <v>7</v>
      </c>
    </row>
    <row r="195" spans="1:17" ht="12.75">
      <c r="A195" s="186" t="str">
        <f>HYPERLINK("http://ct.wwsires.com/bull/7HO13782","SAMMY-P")</f>
        <v>SAMMY-P</v>
      </c>
      <c r="B195" t="s">
        <v>359</v>
      </c>
      <c r="C195" t="s">
        <v>360</v>
      </c>
      <c r="D195">
        <v>2744</v>
      </c>
      <c r="E195">
        <v>1139</v>
      </c>
      <c r="F195">
        <v>81</v>
      </c>
      <c r="G195" s="261">
        <v>0.14</v>
      </c>
      <c r="H195">
        <v>55</v>
      </c>
      <c r="I195" s="261">
        <v>0.07</v>
      </c>
      <c r="J195" s="261">
        <v>2.19</v>
      </c>
      <c r="K195" s="261">
        <v>2.08</v>
      </c>
      <c r="L195" s="263">
        <v>7.7</v>
      </c>
      <c r="M195" s="252">
        <v>169</v>
      </c>
      <c r="N195" s="261">
        <v>2.86</v>
      </c>
      <c r="O195" s="263">
        <v>3.9</v>
      </c>
      <c r="P195" s="263">
        <v>3.6</v>
      </c>
      <c r="Q195" s="263">
        <v>7.7</v>
      </c>
    </row>
    <row r="196" spans="1:17" ht="12.75">
      <c r="A196" s="187" t="str">
        <f>HYPERLINK("http://ct.wwsires.com/bull/14HO07784","HECTOR")</f>
        <v>HECTOR</v>
      </c>
      <c r="B196" t="s">
        <v>361</v>
      </c>
      <c r="C196" t="s">
        <v>362</v>
      </c>
      <c r="D196">
        <v>2577</v>
      </c>
      <c r="E196">
        <v>1545</v>
      </c>
      <c r="F196">
        <v>62</v>
      </c>
      <c r="G196" s="261">
        <v>0.02</v>
      </c>
      <c r="H196">
        <v>60</v>
      </c>
      <c r="I196" s="261">
        <v>0.06</v>
      </c>
      <c r="J196" s="261">
        <v>2.22</v>
      </c>
      <c r="K196" s="261">
        <v>1.8900000000000001</v>
      </c>
      <c r="L196" s="263">
        <v>5.5</v>
      </c>
      <c r="M196" s="252">
        <v>169</v>
      </c>
      <c r="N196" s="261">
        <v>2.89</v>
      </c>
      <c r="O196" s="263">
        <v>2.3</v>
      </c>
      <c r="P196" s="263">
        <v>2.1</v>
      </c>
      <c r="Q196" s="263">
        <v>7</v>
      </c>
    </row>
    <row r="197" spans="1:17" ht="12.75">
      <c r="A197" s="188" t="str">
        <f>HYPERLINK("http://ct.wwsires.com/bull/7HO12978","HOUSE")</f>
        <v>HOUSE</v>
      </c>
      <c r="B197" t="s">
        <v>363</v>
      </c>
      <c r="C197" t="s">
        <v>364</v>
      </c>
      <c r="D197">
        <v>2830</v>
      </c>
      <c r="E197">
        <v>1203</v>
      </c>
      <c r="F197">
        <v>70</v>
      </c>
      <c r="G197" s="261">
        <v>0.1</v>
      </c>
      <c r="H197">
        <v>54</v>
      </c>
      <c r="I197" s="261">
        <v>0.06</v>
      </c>
      <c r="J197" s="261">
        <v>2.89</v>
      </c>
      <c r="K197" s="261">
        <v>2.61</v>
      </c>
      <c r="L197" s="263">
        <v>8.3</v>
      </c>
      <c r="M197" s="252">
        <v>169</v>
      </c>
      <c r="N197" s="261">
        <v>2.55</v>
      </c>
      <c r="O197" s="263">
        <v>4.6</v>
      </c>
      <c r="P197" s="263">
        <v>4.4</v>
      </c>
      <c r="Q197" s="263">
        <v>7.3</v>
      </c>
    </row>
    <row r="198" spans="1:17" ht="12.75">
      <c r="A198" s="189" t="str">
        <f>HYPERLINK("http://ct.wwsires.com/bull/14HO14024","WIRED")</f>
        <v>WIRED</v>
      </c>
      <c r="B198" t="s">
        <v>365</v>
      </c>
      <c r="C198" t="s">
        <v>366</v>
      </c>
      <c r="D198">
        <v>2724</v>
      </c>
      <c r="E198">
        <v>2522</v>
      </c>
      <c r="F198">
        <v>57</v>
      </c>
      <c r="G198" s="261">
        <v>-0.13</v>
      </c>
      <c r="H198">
        <v>77</v>
      </c>
      <c r="I198" s="261">
        <v>0.01</v>
      </c>
      <c r="J198" s="261">
        <v>2.23</v>
      </c>
      <c r="K198" s="261">
        <v>2</v>
      </c>
      <c r="L198" s="263">
        <v>9.1</v>
      </c>
      <c r="M198" s="252">
        <v>169</v>
      </c>
      <c r="N198" s="261">
        <v>2.89</v>
      </c>
      <c r="O198" s="263">
        <v>2.2</v>
      </c>
      <c r="P198" s="263">
        <v>1.6</v>
      </c>
      <c r="Q198" s="263">
        <v>7.3</v>
      </c>
    </row>
    <row r="199" spans="1:17" ht="12.75">
      <c r="A199" s="190" t="str">
        <f>HYPERLINK("http://ct.wwsires.com/bull/250HO13539","SONIC")</f>
        <v>SONIC</v>
      </c>
      <c r="B199" t="s">
        <v>367</v>
      </c>
      <c r="C199" t="s">
        <v>368</v>
      </c>
      <c r="D199">
        <v>2633</v>
      </c>
      <c r="E199">
        <v>1130</v>
      </c>
      <c r="F199">
        <v>88</v>
      </c>
      <c r="G199" s="261">
        <v>0.17</v>
      </c>
      <c r="H199">
        <v>45</v>
      </c>
      <c r="I199" s="261">
        <v>0.04</v>
      </c>
      <c r="J199" s="261">
        <v>1.56</v>
      </c>
      <c r="K199" s="261">
        <v>1.96</v>
      </c>
      <c r="L199" s="263">
        <v>7.5</v>
      </c>
      <c r="M199" s="252">
        <v>168</v>
      </c>
      <c r="N199" s="261">
        <v>2.65</v>
      </c>
      <c r="O199" s="263">
        <v>2</v>
      </c>
      <c r="P199" s="263">
        <v>2.1</v>
      </c>
      <c r="Q199" s="263">
        <v>8.4</v>
      </c>
    </row>
    <row r="200" spans="1:17" ht="12.75">
      <c r="A200" s="191" t="str">
        <f>HYPERLINK("http://ct.wwsires.com/bull/14HO07807","PHOENIX")</f>
        <v>PHOENIX</v>
      </c>
      <c r="B200" t="s">
        <v>369</v>
      </c>
      <c r="C200" t="s">
        <v>370</v>
      </c>
      <c r="D200">
        <v>2585</v>
      </c>
      <c r="E200">
        <v>845</v>
      </c>
      <c r="F200">
        <v>69</v>
      </c>
      <c r="G200" s="261">
        <v>0.13</v>
      </c>
      <c r="H200">
        <v>46</v>
      </c>
      <c r="I200" s="261">
        <v>0.08</v>
      </c>
      <c r="J200" s="261">
        <v>2.5</v>
      </c>
      <c r="K200" s="261">
        <v>2.42</v>
      </c>
      <c r="L200" s="263">
        <v>4.3</v>
      </c>
      <c r="M200" s="252">
        <v>168</v>
      </c>
      <c r="N200" s="261">
        <v>3.01</v>
      </c>
      <c r="O200" s="263">
        <v>2.8</v>
      </c>
      <c r="P200" s="263">
        <v>2.5</v>
      </c>
      <c r="Q200" s="263">
        <v>7.3</v>
      </c>
    </row>
    <row r="201" spans="1:17" ht="12.75">
      <c r="A201" s="192" t="str">
        <f>HYPERLINK("http://ct.wwsires.com/bull/14HO07852","OXFORD")</f>
        <v>OXFORD</v>
      </c>
      <c r="B201" t="s">
        <v>371</v>
      </c>
      <c r="C201" t="s">
        <v>372</v>
      </c>
      <c r="D201">
        <v>2687</v>
      </c>
      <c r="E201">
        <v>1458</v>
      </c>
      <c r="F201">
        <v>64</v>
      </c>
      <c r="G201" s="261">
        <v>0.04</v>
      </c>
      <c r="H201">
        <v>54</v>
      </c>
      <c r="I201" s="261">
        <v>0.03</v>
      </c>
      <c r="J201" s="261">
        <v>1.48</v>
      </c>
      <c r="K201" s="261">
        <v>2.12</v>
      </c>
      <c r="L201" s="263">
        <v>9.1</v>
      </c>
      <c r="M201" s="252">
        <v>168</v>
      </c>
      <c r="N201" s="261">
        <v>2.69</v>
      </c>
      <c r="O201" s="263">
        <v>3.1</v>
      </c>
      <c r="P201" s="263">
        <v>3.2</v>
      </c>
      <c r="Q201" s="263">
        <v>6.6</v>
      </c>
    </row>
    <row r="202" spans="1:17" ht="12.75">
      <c r="A202" s="193" t="str">
        <f>HYPERLINK("http://ct.wwsires.com/bull/7HO13572","GOMES")</f>
        <v>GOMES</v>
      </c>
      <c r="B202" t="s">
        <v>373</v>
      </c>
      <c r="C202" t="s">
        <v>374</v>
      </c>
      <c r="D202">
        <v>2813</v>
      </c>
      <c r="E202">
        <v>1782</v>
      </c>
      <c r="F202">
        <v>64</v>
      </c>
      <c r="G202" s="261">
        <v>-0.01</v>
      </c>
      <c r="H202">
        <v>64</v>
      </c>
      <c r="I202" s="261">
        <v>0.03</v>
      </c>
      <c r="J202" s="261">
        <v>2.21</v>
      </c>
      <c r="K202" s="261">
        <v>2.03</v>
      </c>
      <c r="L202" s="263">
        <v>9.3</v>
      </c>
      <c r="M202" s="252">
        <v>168</v>
      </c>
      <c r="N202" s="261">
        <v>2.85</v>
      </c>
      <c r="O202" s="263">
        <v>4.9</v>
      </c>
      <c r="P202" s="263">
        <v>4.8</v>
      </c>
      <c r="Q202" s="263">
        <v>6.7</v>
      </c>
    </row>
    <row r="203" spans="1:17" ht="12.75">
      <c r="A203" s="194" t="str">
        <f>HYPERLINK("http://ct.wwsires.com/bull/7HO12965","LOCO")</f>
        <v>LOCO</v>
      </c>
      <c r="B203" t="s">
        <v>375</v>
      </c>
      <c r="C203" t="s">
        <v>376</v>
      </c>
      <c r="D203">
        <v>2609</v>
      </c>
      <c r="E203">
        <v>730</v>
      </c>
      <c r="F203">
        <v>68</v>
      </c>
      <c r="G203" s="261">
        <v>0.15</v>
      </c>
      <c r="H203">
        <v>49</v>
      </c>
      <c r="I203" s="261">
        <v>0.09</v>
      </c>
      <c r="J203" s="261">
        <v>1.21</v>
      </c>
      <c r="K203" s="261">
        <v>1.69</v>
      </c>
      <c r="L203" s="263">
        <v>6.8</v>
      </c>
      <c r="M203" s="252">
        <v>167</v>
      </c>
      <c r="N203" s="261">
        <v>2.9</v>
      </c>
      <c r="O203" s="263">
        <v>4.1</v>
      </c>
      <c r="P203" s="263">
        <v>3.6</v>
      </c>
      <c r="Q203" s="263">
        <v>7.4</v>
      </c>
    </row>
    <row r="204" spans="1:17" ht="12.75">
      <c r="A204" s="195" t="str">
        <f>HYPERLINK("http://ct.wwsires.com/bull/7HO11839","MONOCEROTIS")</f>
        <v>MONOCEROTIS</v>
      </c>
      <c r="B204" t="s">
        <v>377</v>
      </c>
      <c r="C204" t="s">
        <v>89</v>
      </c>
      <c r="D204">
        <v>2503</v>
      </c>
      <c r="E204">
        <v>1691</v>
      </c>
      <c r="F204">
        <v>56</v>
      </c>
      <c r="G204" s="261">
        <v>-0.02</v>
      </c>
      <c r="H204">
        <v>55</v>
      </c>
      <c r="I204" s="261">
        <v>0.02</v>
      </c>
      <c r="J204" s="261">
        <v>0.91</v>
      </c>
      <c r="K204" s="261">
        <v>1.33</v>
      </c>
      <c r="L204" s="263">
        <v>6.5</v>
      </c>
      <c r="M204" s="252">
        <v>167</v>
      </c>
      <c r="N204" s="261">
        <v>2.91</v>
      </c>
      <c r="O204" s="263">
        <v>2.5</v>
      </c>
      <c r="P204" s="263">
        <v>2.1</v>
      </c>
      <c r="Q204" s="263">
        <v>6.2</v>
      </c>
    </row>
    <row r="205" spans="1:17" ht="12.75">
      <c r="A205" s="196" t="str">
        <f>HYPERLINK("http://ct.wwsires.com/bull/14HO07714","HURRICANE")</f>
        <v>HURRICANE</v>
      </c>
      <c r="B205" t="s">
        <v>378</v>
      </c>
      <c r="C205" t="s">
        <v>379</v>
      </c>
      <c r="D205">
        <v>2636</v>
      </c>
      <c r="E205">
        <v>1299</v>
      </c>
      <c r="F205">
        <v>80</v>
      </c>
      <c r="G205" s="261">
        <v>0.11</v>
      </c>
      <c r="H205">
        <v>48</v>
      </c>
      <c r="I205" s="261">
        <v>0.03</v>
      </c>
      <c r="J205" s="261">
        <v>2.1</v>
      </c>
      <c r="K205" s="261">
        <v>2.54</v>
      </c>
      <c r="L205" s="263">
        <v>5.7</v>
      </c>
      <c r="M205" s="252">
        <v>167</v>
      </c>
      <c r="N205" s="261">
        <v>2.76</v>
      </c>
      <c r="O205" s="263">
        <v>2.3</v>
      </c>
      <c r="P205" s="263">
        <v>2</v>
      </c>
      <c r="Q205" s="263">
        <v>6.2</v>
      </c>
    </row>
    <row r="206" spans="1:17" ht="12.75">
      <c r="A206" s="197" t="str">
        <f>HYPERLINK("http://ct.wwsires.com/bull/7HO13866","RIO")</f>
        <v>RIO</v>
      </c>
      <c r="B206" t="s">
        <v>380</v>
      </c>
      <c r="C206" t="s">
        <v>381</v>
      </c>
      <c r="D206">
        <v>2835</v>
      </c>
      <c r="E206">
        <v>1462</v>
      </c>
      <c r="F206">
        <v>79</v>
      </c>
      <c r="G206" s="261">
        <v>0.09</v>
      </c>
      <c r="H206">
        <v>50</v>
      </c>
      <c r="I206" s="261">
        <v>0.03</v>
      </c>
      <c r="J206" s="261">
        <v>1.77</v>
      </c>
      <c r="K206" s="261">
        <v>2.05</v>
      </c>
      <c r="L206" s="263">
        <v>10.6</v>
      </c>
      <c r="M206" s="252">
        <v>167</v>
      </c>
      <c r="N206" s="261">
        <v>2.65</v>
      </c>
      <c r="O206" s="263">
        <v>4.2</v>
      </c>
      <c r="P206" s="263">
        <v>4.1</v>
      </c>
      <c r="Q206" s="263">
        <v>4.8</v>
      </c>
    </row>
    <row r="207" spans="1:17" ht="12.75">
      <c r="A207" s="198" t="str">
        <f>HYPERLINK("http://ct.wwsires.com/bull/7HO13930","GRAND")</f>
        <v>GRAND</v>
      </c>
      <c r="B207" t="s">
        <v>382</v>
      </c>
      <c r="C207" t="s">
        <v>383</v>
      </c>
      <c r="D207">
        <v>2817</v>
      </c>
      <c r="E207">
        <v>1594</v>
      </c>
      <c r="F207">
        <v>64</v>
      </c>
      <c r="G207" s="261">
        <v>0.02</v>
      </c>
      <c r="H207">
        <v>58</v>
      </c>
      <c r="I207" s="261">
        <v>0.04</v>
      </c>
      <c r="J207" s="261">
        <v>2.91</v>
      </c>
      <c r="K207" s="261">
        <v>3.02</v>
      </c>
      <c r="L207" s="263">
        <v>8.4</v>
      </c>
      <c r="M207" s="252">
        <v>166</v>
      </c>
      <c r="N207" s="261">
        <v>2.98</v>
      </c>
      <c r="O207" s="263">
        <v>4.1</v>
      </c>
      <c r="P207" s="263">
        <v>3.9</v>
      </c>
      <c r="Q207" s="263">
        <v>6.5</v>
      </c>
    </row>
    <row r="208" spans="1:17" ht="12.75">
      <c r="A208" s="199" t="str">
        <f>HYPERLINK("http://ct.wwsires.com/bull/7HO11981","FREEDOM")</f>
        <v>FREEDOM</v>
      </c>
      <c r="B208" t="s">
        <v>384</v>
      </c>
      <c r="C208" t="s">
        <v>385</v>
      </c>
      <c r="D208">
        <v>2410</v>
      </c>
      <c r="E208">
        <v>1317</v>
      </c>
      <c r="F208">
        <v>68</v>
      </c>
      <c r="G208" s="261">
        <v>0.07</v>
      </c>
      <c r="H208">
        <v>48</v>
      </c>
      <c r="I208" s="261">
        <v>0.03</v>
      </c>
      <c r="J208" s="261">
        <v>0.89</v>
      </c>
      <c r="K208" s="261">
        <v>1.1</v>
      </c>
      <c r="L208" s="263">
        <v>5.6</v>
      </c>
      <c r="M208" s="252">
        <v>166</v>
      </c>
      <c r="N208" s="261">
        <v>2.84</v>
      </c>
      <c r="O208" s="263">
        <v>0.8</v>
      </c>
      <c r="P208" s="263">
        <v>0.8</v>
      </c>
      <c r="Q208" s="263">
        <v>8.1</v>
      </c>
    </row>
    <row r="209" spans="1:17" ht="12.75">
      <c r="A209" s="200" t="str">
        <f>HYPERLINK("http://ct.wwsires.com/bull/14HO07744","KONAN*RC")</f>
        <v>KONAN*RC</v>
      </c>
      <c r="B209" t="s">
        <v>386</v>
      </c>
      <c r="C209" t="s">
        <v>387</v>
      </c>
      <c r="D209">
        <v>2552</v>
      </c>
      <c r="E209">
        <v>547</v>
      </c>
      <c r="F209">
        <v>75</v>
      </c>
      <c r="G209" s="261">
        <v>0.2</v>
      </c>
      <c r="H209">
        <v>37</v>
      </c>
      <c r="I209" s="261">
        <v>0.08</v>
      </c>
      <c r="J209" s="261">
        <v>2.24</v>
      </c>
      <c r="K209" s="261">
        <v>2.86</v>
      </c>
      <c r="L209" s="263">
        <v>6.7</v>
      </c>
      <c r="M209" s="252">
        <v>166</v>
      </c>
      <c r="N209" s="261">
        <v>2.79</v>
      </c>
      <c r="O209" s="263">
        <v>0.7</v>
      </c>
      <c r="P209" s="263">
        <v>0.4</v>
      </c>
      <c r="Q209" s="263">
        <v>8.5</v>
      </c>
    </row>
    <row r="210" spans="1:17" ht="12.75">
      <c r="A210" s="201" t="str">
        <f>HYPERLINK("http://ct.wwsires.com/bull/7HO13734","HODEDOE")</f>
        <v>HODEDOE</v>
      </c>
      <c r="B210" t="s">
        <v>388</v>
      </c>
      <c r="C210" t="s">
        <v>389</v>
      </c>
      <c r="D210">
        <v>2841</v>
      </c>
      <c r="E210">
        <v>1118</v>
      </c>
      <c r="F210">
        <v>71</v>
      </c>
      <c r="G210" s="261">
        <v>0.11</v>
      </c>
      <c r="H210">
        <v>57</v>
      </c>
      <c r="I210" s="261">
        <v>0.08</v>
      </c>
      <c r="J210" s="261">
        <v>2.5</v>
      </c>
      <c r="K210" s="261">
        <v>2.5</v>
      </c>
      <c r="L210" s="263">
        <v>9.7</v>
      </c>
      <c r="M210" s="252">
        <v>166</v>
      </c>
      <c r="N210" s="261">
        <v>2.85</v>
      </c>
      <c r="O210" s="263">
        <v>5</v>
      </c>
      <c r="P210" s="263">
        <v>5</v>
      </c>
      <c r="Q210" s="263">
        <v>6.3</v>
      </c>
    </row>
    <row r="211" spans="1:17" ht="12.75">
      <c r="A211" s="202" t="str">
        <f>HYPERLINK("http://ct.wwsires.com/bull/250HO13829","ROYALTY P")</f>
        <v>ROYALTY P</v>
      </c>
      <c r="B211" t="s">
        <v>390</v>
      </c>
      <c r="C211" t="s">
        <v>391</v>
      </c>
      <c r="D211">
        <v>2643</v>
      </c>
      <c r="E211">
        <v>1567</v>
      </c>
      <c r="F211">
        <v>75</v>
      </c>
      <c r="G211" s="261">
        <v>0.06</v>
      </c>
      <c r="H211">
        <v>52</v>
      </c>
      <c r="I211" s="261">
        <v>0.02</v>
      </c>
      <c r="J211" s="261">
        <v>1.74</v>
      </c>
      <c r="K211" s="261">
        <v>2.22</v>
      </c>
      <c r="L211" s="263">
        <v>5.9</v>
      </c>
      <c r="M211" s="252">
        <v>166</v>
      </c>
      <c r="N211" s="261">
        <v>2.94</v>
      </c>
      <c r="O211" s="263">
        <v>3.7</v>
      </c>
      <c r="P211" s="263">
        <v>3.2</v>
      </c>
      <c r="Q211" s="263">
        <v>6.5</v>
      </c>
    </row>
    <row r="212" spans="1:17" ht="12.75">
      <c r="A212" s="203" t="str">
        <f>HYPERLINK("http://ct.wwsires.com/bull/14HO07792","BRAZZER")</f>
        <v>BRAZZER</v>
      </c>
      <c r="B212" t="s">
        <v>392</v>
      </c>
      <c r="C212" t="s">
        <v>393</v>
      </c>
      <c r="D212">
        <v>2605</v>
      </c>
      <c r="E212">
        <v>1376</v>
      </c>
      <c r="F212">
        <v>79</v>
      </c>
      <c r="G212" s="261">
        <v>0.1</v>
      </c>
      <c r="H212">
        <v>51</v>
      </c>
      <c r="I212" s="261">
        <v>0.04</v>
      </c>
      <c r="J212" s="261">
        <v>2.13</v>
      </c>
      <c r="K212" s="261">
        <v>2.36</v>
      </c>
      <c r="L212" s="263">
        <v>6.2</v>
      </c>
      <c r="M212" s="252">
        <v>165</v>
      </c>
      <c r="N212" s="261">
        <v>2.69</v>
      </c>
      <c r="O212" s="263">
        <v>0.5</v>
      </c>
      <c r="P212" s="263">
        <v>0.4</v>
      </c>
      <c r="Q212" s="263">
        <v>9.7</v>
      </c>
    </row>
    <row r="213" spans="1:17" ht="12.75">
      <c r="A213" s="204" t="str">
        <f>HYPERLINK("http://ct.wwsires.com/bull/507HO12974","COPYCAT")</f>
        <v>COPYCAT</v>
      </c>
      <c r="B213" t="s">
        <v>394</v>
      </c>
      <c r="C213" t="s">
        <v>185</v>
      </c>
      <c r="D213">
        <v>2827</v>
      </c>
      <c r="E213">
        <v>1425</v>
      </c>
      <c r="F213">
        <v>77</v>
      </c>
      <c r="G213" s="261">
        <v>0.09</v>
      </c>
      <c r="H213">
        <v>61</v>
      </c>
      <c r="I213" s="261">
        <v>0.06</v>
      </c>
      <c r="J213" s="261">
        <v>2.4699999999999998</v>
      </c>
      <c r="K213" s="261">
        <v>2.22</v>
      </c>
      <c r="L213" s="263">
        <v>8</v>
      </c>
      <c r="M213" s="252">
        <v>165</v>
      </c>
      <c r="N213" s="261">
        <v>2.74</v>
      </c>
      <c r="O213" s="263">
        <v>4.4</v>
      </c>
      <c r="P213" s="263">
        <v>4.7</v>
      </c>
      <c r="Q213" s="263">
        <v>7.6</v>
      </c>
    </row>
    <row r="214" spans="1:17" ht="12.75">
      <c r="A214" s="205" t="str">
        <f>HYPERLINK("http://ct.wwsires.com/bull/14HO07746","SANDOVAL")</f>
        <v>SANDOVAL</v>
      </c>
      <c r="B214" t="s">
        <v>395</v>
      </c>
      <c r="C214" t="s">
        <v>396</v>
      </c>
      <c r="D214">
        <v>2502</v>
      </c>
      <c r="E214">
        <v>1423</v>
      </c>
      <c r="F214">
        <v>71</v>
      </c>
      <c r="G214" s="261">
        <v>0.06</v>
      </c>
      <c r="H214">
        <v>50</v>
      </c>
      <c r="I214" s="261">
        <v>0.03</v>
      </c>
      <c r="J214" s="261">
        <v>1.83</v>
      </c>
      <c r="K214" s="261">
        <v>1.8399999999999999</v>
      </c>
      <c r="L214" s="263">
        <v>6</v>
      </c>
      <c r="M214" s="252">
        <v>165</v>
      </c>
      <c r="N214" s="261">
        <v>2.79</v>
      </c>
      <c r="O214" s="263">
        <v>0.1</v>
      </c>
      <c r="P214" s="263">
        <v>-0.4</v>
      </c>
      <c r="Q214" s="263">
        <v>7.5</v>
      </c>
    </row>
    <row r="215" spans="1:17" ht="12.75">
      <c r="A215" s="206" t="str">
        <f>HYPERLINK("http://ct.wwsires.com/bull/7HO13289","MEGASTAR")</f>
        <v>MEGASTAR</v>
      </c>
      <c r="B215" t="s">
        <v>397</v>
      </c>
      <c r="C215" t="s">
        <v>398</v>
      </c>
      <c r="D215">
        <v>2676</v>
      </c>
      <c r="E215">
        <v>2190</v>
      </c>
      <c r="F215">
        <v>54</v>
      </c>
      <c r="G215" s="261">
        <v>-0.09</v>
      </c>
      <c r="H215">
        <v>71</v>
      </c>
      <c r="I215" s="261">
        <v>0.02</v>
      </c>
      <c r="J215" s="261">
        <v>2.54</v>
      </c>
      <c r="K215" s="261">
        <v>2.94</v>
      </c>
      <c r="L215" s="263">
        <v>5.9</v>
      </c>
      <c r="M215" s="252">
        <v>165</v>
      </c>
      <c r="N215" s="261">
        <v>2.89</v>
      </c>
      <c r="O215" s="263">
        <v>1.7</v>
      </c>
      <c r="P215" s="263">
        <v>1.8</v>
      </c>
      <c r="Q215" s="263">
        <v>8.6</v>
      </c>
    </row>
    <row r="216" spans="1:17" ht="12.75">
      <c r="A216" s="207" t="str">
        <f>HYPERLINK("http://ct.wwsires.com/bull/14HO07891","HAMILTON")</f>
        <v>HAMILTON</v>
      </c>
      <c r="B216" t="s">
        <v>399</v>
      </c>
      <c r="C216" t="s">
        <v>400</v>
      </c>
      <c r="D216">
        <v>2688</v>
      </c>
      <c r="E216">
        <v>861</v>
      </c>
      <c r="F216">
        <v>89</v>
      </c>
      <c r="G216" s="261">
        <v>0.21</v>
      </c>
      <c r="H216">
        <v>36</v>
      </c>
      <c r="I216" s="261">
        <v>0.03</v>
      </c>
      <c r="J216" s="261">
        <v>1.9300000000000002</v>
      </c>
      <c r="K216" s="261">
        <v>2.12</v>
      </c>
      <c r="L216" s="263">
        <v>8.6</v>
      </c>
      <c r="M216" s="252">
        <v>165</v>
      </c>
      <c r="N216" s="261">
        <v>2.81</v>
      </c>
      <c r="O216" s="263">
        <v>3.1</v>
      </c>
      <c r="P216" s="263">
        <v>3</v>
      </c>
      <c r="Q216" s="263">
        <v>6</v>
      </c>
    </row>
    <row r="217" spans="1:17" ht="12.75">
      <c r="A217" s="208" t="str">
        <f>HYPERLINK("http://ct.wwsires.com/bull/7HO13753","DEVINE")</f>
        <v>DEVINE</v>
      </c>
      <c r="B217" t="s">
        <v>401</v>
      </c>
      <c r="C217" t="s">
        <v>402</v>
      </c>
      <c r="D217">
        <v>2730</v>
      </c>
      <c r="E217">
        <v>1246</v>
      </c>
      <c r="F217">
        <v>78</v>
      </c>
      <c r="G217" s="261">
        <v>0.11</v>
      </c>
      <c r="H217">
        <v>50</v>
      </c>
      <c r="I217" s="261">
        <v>0.04</v>
      </c>
      <c r="J217" s="261">
        <v>2.1</v>
      </c>
      <c r="K217" s="261">
        <v>1.75</v>
      </c>
      <c r="L217" s="263">
        <v>9.9</v>
      </c>
      <c r="M217" s="252">
        <v>164</v>
      </c>
      <c r="N217" s="261">
        <v>2.5300000000000002</v>
      </c>
      <c r="O217" s="263">
        <v>2.4</v>
      </c>
      <c r="P217" s="263">
        <v>2.1</v>
      </c>
      <c r="Q217" s="263">
        <v>6.4</v>
      </c>
    </row>
    <row r="218" spans="1:17" ht="12.75">
      <c r="A218" s="209" t="str">
        <f>HYPERLINK("http://ct.wwsires.com/bull/7HO12992","CHATTER")</f>
        <v>CHATTER</v>
      </c>
      <c r="B218" t="s">
        <v>403</v>
      </c>
      <c r="C218" t="s">
        <v>404</v>
      </c>
      <c r="D218">
        <v>2772</v>
      </c>
      <c r="E218">
        <v>1268</v>
      </c>
      <c r="F218">
        <v>75</v>
      </c>
      <c r="G218" s="261">
        <v>0.1</v>
      </c>
      <c r="H218">
        <v>46</v>
      </c>
      <c r="I218" s="261">
        <v>0.03</v>
      </c>
      <c r="J218" s="261">
        <v>1.88</v>
      </c>
      <c r="K218" s="261">
        <v>2.81</v>
      </c>
      <c r="L218" s="263">
        <v>9</v>
      </c>
      <c r="M218" s="252">
        <v>164</v>
      </c>
      <c r="N218" s="261">
        <v>2.64</v>
      </c>
      <c r="O218" s="263">
        <v>3.5</v>
      </c>
      <c r="P218" s="263">
        <v>3.6</v>
      </c>
      <c r="Q218" s="263">
        <v>6.1</v>
      </c>
    </row>
    <row r="219" spans="1:17" ht="12.75">
      <c r="A219" s="210" t="str">
        <f>HYPERLINK("http://ct.wwsires.com/bull/7HO13784","BOBY-P")</f>
        <v>BOBY-P</v>
      </c>
      <c r="B219" t="s">
        <v>405</v>
      </c>
      <c r="C219" t="s">
        <v>406</v>
      </c>
      <c r="D219">
        <v>2750</v>
      </c>
      <c r="E219">
        <v>995</v>
      </c>
      <c r="F219">
        <v>79</v>
      </c>
      <c r="G219" s="261">
        <v>0.15</v>
      </c>
      <c r="H219">
        <v>46</v>
      </c>
      <c r="I219" s="261">
        <v>0.06</v>
      </c>
      <c r="J219" s="261">
        <v>2.2800000000000002</v>
      </c>
      <c r="K219" s="261">
        <v>2.63</v>
      </c>
      <c r="L219" s="263">
        <v>8.4</v>
      </c>
      <c r="M219" s="252">
        <v>164</v>
      </c>
      <c r="N219" s="261">
        <v>2.84</v>
      </c>
      <c r="O219" s="263">
        <v>3.1</v>
      </c>
      <c r="P219" s="263">
        <v>3.3</v>
      </c>
      <c r="Q219" s="263">
        <v>6</v>
      </c>
    </row>
    <row r="220" spans="1:17" ht="12.75">
      <c r="A220" s="211" t="str">
        <f>HYPERLINK("http://ct.wwsires.com/bull/7HO12597","LYLAS")</f>
        <v>LYLAS</v>
      </c>
      <c r="B220" t="s">
        <v>407</v>
      </c>
      <c r="C220" t="s">
        <v>408</v>
      </c>
      <c r="D220">
        <v>2579</v>
      </c>
      <c r="E220">
        <v>1608</v>
      </c>
      <c r="F220">
        <v>85</v>
      </c>
      <c r="G220" s="261">
        <v>0.09</v>
      </c>
      <c r="H220">
        <v>46</v>
      </c>
      <c r="I220" s="261">
        <v>-0.01</v>
      </c>
      <c r="J220" s="261">
        <v>2.08</v>
      </c>
      <c r="K220" s="261">
        <v>1.85</v>
      </c>
      <c r="L220" s="263">
        <v>5.2</v>
      </c>
      <c r="M220" s="252">
        <v>164</v>
      </c>
      <c r="N220" s="261">
        <v>2.86</v>
      </c>
      <c r="O220" s="263">
        <v>2.2</v>
      </c>
      <c r="P220" s="263">
        <v>2.1</v>
      </c>
      <c r="Q220" s="263">
        <v>7</v>
      </c>
    </row>
    <row r="221" spans="1:17" ht="12.75">
      <c r="A221" s="212" t="str">
        <f>HYPERLINK("http://ct.wwsires.com/bull/14HO07872","MODIFY")</f>
        <v>MODIFY</v>
      </c>
      <c r="B221" t="s">
        <v>409</v>
      </c>
      <c r="C221" t="s">
        <v>96</v>
      </c>
      <c r="D221">
        <v>2717</v>
      </c>
      <c r="E221">
        <v>1582</v>
      </c>
      <c r="F221">
        <v>69</v>
      </c>
      <c r="G221" s="261">
        <v>0.03</v>
      </c>
      <c r="H221">
        <v>55</v>
      </c>
      <c r="I221" s="261">
        <v>0.02</v>
      </c>
      <c r="J221" s="261">
        <v>2.04</v>
      </c>
      <c r="K221" s="261">
        <v>2.35</v>
      </c>
      <c r="L221" s="263">
        <v>7.9</v>
      </c>
      <c r="M221" s="252">
        <v>162</v>
      </c>
      <c r="N221" s="261">
        <v>2.86</v>
      </c>
      <c r="O221" s="263">
        <v>3.1</v>
      </c>
      <c r="P221" s="263">
        <v>3</v>
      </c>
      <c r="Q221" s="263">
        <v>5.6</v>
      </c>
    </row>
    <row r="222" spans="1:17" ht="12.75">
      <c r="A222" s="213" t="str">
        <f>HYPERLINK("http://ct.wwsires.com/bull/250HO13743","CASPER")</f>
        <v>CASPER</v>
      </c>
      <c r="B222" t="s">
        <v>410</v>
      </c>
      <c r="C222" t="s">
        <v>411</v>
      </c>
      <c r="D222">
        <v>2859</v>
      </c>
      <c r="E222">
        <v>1397</v>
      </c>
      <c r="F222">
        <v>69</v>
      </c>
      <c r="G222" s="261">
        <v>0.06</v>
      </c>
      <c r="H222">
        <v>56</v>
      </c>
      <c r="I222" s="261">
        <v>0.05</v>
      </c>
      <c r="J222" s="261">
        <v>2.9</v>
      </c>
      <c r="K222" s="261">
        <v>3.07</v>
      </c>
      <c r="L222" s="263">
        <v>8.7</v>
      </c>
      <c r="M222" s="252">
        <v>162</v>
      </c>
      <c r="N222" s="261">
        <v>2.71</v>
      </c>
      <c r="O222" s="263">
        <v>4.8</v>
      </c>
      <c r="P222" s="263">
        <v>4.9</v>
      </c>
      <c r="Q222" s="263">
        <v>6.8</v>
      </c>
    </row>
    <row r="223" spans="1:17" ht="12.75">
      <c r="A223" s="214" t="str">
        <f>HYPERLINK("http://ct.wwsires.com/bull/14HO14061","HOUND")</f>
        <v>HOUND</v>
      </c>
      <c r="B223" t="s">
        <v>412</v>
      </c>
      <c r="C223" t="s">
        <v>413</v>
      </c>
      <c r="D223">
        <v>2747</v>
      </c>
      <c r="E223">
        <v>1548</v>
      </c>
      <c r="F223">
        <v>50</v>
      </c>
      <c r="G223" s="261">
        <v>-0.03</v>
      </c>
      <c r="H223">
        <v>63</v>
      </c>
      <c r="I223" s="261">
        <v>0.06</v>
      </c>
      <c r="J223" s="261">
        <v>1.58</v>
      </c>
      <c r="K223" s="261">
        <v>1.9100000000000001</v>
      </c>
      <c r="L223" s="263">
        <v>11.4</v>
      </c>
      <c r="M223" s="252">
        <v>162</v>
      </c>
      <c r="N223" s="261">
        <v>2.76</v>
      </c>
      <c r="O223" s="263">
        <v>4.3</v>
      </c>
      <c r="P223" s="263">
        <v>4.5</v>
      </c>
      <c r="Q223" s="263">
        <v>5.5</v>
      </c>
    </row>
    <row r="224" spans="1:17" ht="12.75">
      <c r="A224" s="215" t="str">
        <f>HYPERLINK("http://ct.wwsires.com/bull/7HO12690","LOYALTY")</f>
        <v>LOYALTY</v>
      </c>
      <c r="B224" t="s">
        <v>414</v>
      </c>
      <c r="C224" t="s">
        <v>415</v>
      </c>
      <c r="D224">
        <v>2681</v>
      </c>
      <c r="E224">
        <v>1772</v>
      </c>
      <c r="F224">
        <v>72</v>
      </c>
      <c r="G224" s="261">
        <v>0.03</v>
      </c>
      <c r="H224">
        <v>52</v>
      </c>
      <c r="I224" s="261">
        <v>0</v>
      </c>
      <c r="J224" s="261">
        <v>2.24</v>
      </c>
      <c r="K224" s="261">
        <v>2.67</v>
      </c>
      <c r="L224" s="263">
        <v>7.3</v>
      </c>
      <c r="M224" s="252">
        <v>162</v>
      </c>
      <c r="N224" s="261">
        <v>2.86</v>
      </c>
      <c r="O224" s="263">
        <v>2.7</v>
      </c>
      <c r="P224" s="263">
        <v>2.9</v>
      </c>
      <c r="Q224" s="263">
        <v>8</v>
      </c>
    </row>
    <row r="225" spans="1:17" ht="12.75">
      <c r="A225" s="216" t="str">
        <f>HYPERLINK("http://ct.wwsires.com/bull/14HO07907","FIREBALL")</f>
        <v>FIREBALL</v>
      </c>
      <c r="B225" t="s">
        <v>416</v>
      </c>
      <c r="C225" t="s">
        <v>417</v>
      </c>
      <c r="D225">
        <v>2698</v>
      </c>
      <c r="E225">
        <v>276</v>
      </c>
      <c r="F225">
        <v>81</v>
      </c>
      <c r="G225" s="261">
        <v>0.26</v>
      </c>
      <c r="H225">
        <v>31</v>
      </c>
      <c r="I225" s="261">
        <v>0.08</v>
      </c>
      <c r="J225" s="261">
        <v>1.62</v>
      </c>
      <c r="K225" s="261">
        <v>2.01</v>
      </c>
      <c r="L225" s="263">
        <v>9</v>
      </c>
      <c r="M225" s="252">
        <v>162</v>
      </c>
      <c r="N225" s="261">
        <v>2.61</v>
      </c>
      <c r="O225" s="263">
        <v>3.9</v>
      </c>
      <c r="P225" s="263">
        <v>3.5</v>
      </c>
      <c r="Q225" s="263">
        <v>6.9</v>
      </c>
    </row>
    <row r="226" spans="1:17" ht="12.75">
      <c r="A226" s="217" t="str">
        <f>HYPERLINK("http://ct.wwsires.com/bull/7HO11838","MORDEN")</f>
        <v>MORDEN</v>
      </c>
      <c r="B226" t="s">
        <v>418</v>
      </c>
      <c r="C226" t="s">
        <v>419</v>
      </c>
      <c r="D226">
        <v>2372</v>
      </c>
      <c r="E226">
        <v>1240</v>
      </c>
      <c r="F226">
        <v>72</v>
      </c>
      <c r="G226" s="261">
        <v>0.09</v>
      </c>
      <c r="H226">
        <v>42</v>
      </c>
      <c r="I226" s="261">
        <v>0.02</v>
      </c>
      <c r="J226" s="261">
        <v>1.37</v>
      </c>
      <c r="K226" s="261">
        <v>1.53</v>
      </c>
      <c r="L226" s="263">
        <v>2.5</v>
      </c>
      <c r="M226" s="252">
        <v>162</v>
      </c>
      <c r="N226" s="261">
        <v>2.98</v>
      </c>
      <c r="O226" s="263">
        <v>0.7</v>
      </c>
      <c r="P226" s="263">
        <v>-0.1</v>
      </c>
      <c r="Q226" s="263">
        <v>6.8</v>
      </c>
    </row>
    <row r="227" spans="1:17" ht="12.75">
      <c r="A227" s="218" t="str">
        <f>HYPERLINK("http://ct.wwsires.com/bull/250HO13194","EMERICH")</f>
        <v>EMERICH</v>
      </c>
      <c r="B227" t="s">
        <v>420</v>
      </c>
      <c r="C227" t="s">
        <v>421</v>
      </c>
      <c r="D227">
        <v>2473</v>
      </c>
      <c r="E227">
        <v>1353</v>
      </c>
      <c r="F227">
        <v>65</v>
      </c>
      <c r="G227" s="261">
        <v>0.05</v>
      </c>
      <c r="H227">
        <v>54</v>
      </c>
      <c r="I227" s="261">
        <v>0.05</v>
      </c>
      <c r="J227" s="261">
        <v>1.54</v>
      </c>
      <c r="K227" s="261">
        <v>1.37</v>
      </c>
      <c r="L227" s="263">
        <v>6.1</v>
      </c>
      <c r="M227" s="252">
        <v>161</v>
      </c>
      <c r="N227" s="261">
        <v>2.8</v>
      </c>
      <c r="O227" s="263">
        <v>1.1</v>
      </c>
      <c r="P227" s="263">
        <v>1.3</v>
      </c>
      <c r="Q227" s="263">
        <v>6.2</v>
      </c>
    </row>
    <row r="228" spans="1:17" ht="12.75">
      <c r="A228" s="219" t="str">
        <f>HYPERLINK("http://ct.wwsires.com/bull/7HO12449","MARTY")</f>
        <v>MARTY</v>
      </c>
      <c r="B228" t="s">
        <v>422</v>
      </c>
      <c r="C228" t="s">
        <v>423</v>
      </c>
      <c r="D228">
        <v>2483</v>
      </c>
      <c r="E228">
        <v>1742</v>
      </c>
      <c r="F228">
        <v>75</v>
      </c>
      <c r="G228" s="261">
        <v>0.04</v>
      </c>
      <c r="H228">
        <v>61</v>
      </c>
      <c r="I228" s="261">
        <v>0.03</v>
      </c>
      <c r="J228" s="261">
        <v>1.9300000000000002</v>
      </c>
      <c r="K228" s="261">
        <v>1.1400000000000001</v>
      </c>
      <c r="L228" s="263">
        <v>3.8</v>
      </c>
      <c r="M228" s="252">
        <v>161</v>
      </c>
      <c r="N228" s="261">
        <v>2.85</v>
      </c>
      <c r="O228" s="263">
        <v>1</v>
      </c>
      <c r="P228" s="263">
        <v>0.6</v>
      </c>
      <c r="Q228" s="263">
        <v>7</v>
      </c>
    </row>
    <row r="229" spans="1:17" ht="12.75">
      <c r="A229" s="220" t="str">
        <f>HYPERLINK("http://ct.wwsires.com/bull/7HO13607","MAGICTOUCH")</f>
        <v>MAGICTOUCH</v>
      </c>
      <c r="B229" t="s">
        <v>424</v>
      </c>
      <c r="C229" t="s">
        <v>217</v>
      </c>
      <c r="D229">
        <v>2802</v>
      </c>
      <c r="E229">
        <v>1114</v>
      </c>
      <c r="F229">
        <v>62</v>
      </c>
      <c r="G229" s="261">
        <v>0.08</v>
      </c>
      <c r="H229">
        <v>55</v>
      </c>
      <c r="I229" s="261">
        <v>0.08</v>
      </c>
      <c r="J229" s="261">
        <v>2.49</v>
      </c>
      <c r="K229" s="261">
        <v>2.51</v>
      </c>
      <c r="L229" s="263">
        <v>8.9</v>
      </c>
      <c r="M229" s="252">
        <v>161</v>
      </c>
      <c r="N229" s="261">
        <v>2.8</v>
      </c>
      <c r="O229" s="263">
        <v>4.3</v>
      </c>
      <c r="P229" s="263">
        <v>4.2</v>
      </c>
      <c r="Q229" s="263">
        <v>6.9</v>
      </c>
    </row>
    <row r="230" spans="1:17" ht="12.75">
      <c r="A230" s="221" t="str">
        <f>HYPERLINK("http://ct.wwsires.com/bull/509HO12745","STOKER")</f>
        <v>STOKER</v>
      </c>
      <c r="B230" t="s">
        <v>425</v>
      </c>
      <c r="C230" t="s">
        <v>426</v>
      </c>
      <c r="D230">
        <v>2629</v>
      </c>
      <c r="E230">
        <v>1455</v>
      </c>
      <c r="F230">
        <v>73</v>
      </c>
      <c r="G230" s="261">
        <v>0.07</v>
      </c>
      <c r="H230">
        <v>51</v>
      </c>
      <c r="I230" s="261">
        <v>0.02</v>
      </c>
      <c r="J230" s="261">
        <v>1.1400000000000001</v>
      </c>
      <c r="K230" s="261">
        <v>1.03</v>
      </c>
      <c r="L230" s="263">
        <v>9.1</v>
      </c>
      <c r="M230" s="252">
        <v>161</v>
      </c>
      <c r="N230" s="261">
        <v>2.93</v>
      </c>
      <c r="O230" s="263">
        <v>4</v>
      </c>
      <c r="P230" s="263">
        <v>3.7</v>
      </c>
      <c r="Q230" s="263">
        <v>6.2</v>
      </c>
    </row>
    <row r="231" spans="1:17" ht="12.75">
      <c r="A231" s="222" t="str">
        <f>HYPERLINK("http://ct.wwsires.com/bull/7HO12876","POWER TOOL-P")</f>
        <v>POWER TOOL-P</v>
      </c>
      <c r="B231" t="s">
        <v>427</v>
      </c>
      <c r="C231" t="s">
        <v>428</v>
      </c>
      <c r="D231">
        <v>2581</v>
      </c>
      <c r="E231">
        <v>1351</v>
      </c>
      <c r="F231">
        <v>58</v>
      </c>
      <c r="G231" s="261">
        <v>0.03</v>
      </c>
      <c r="H231">
        <v>54</v>
      </c>
      <c r="I231" s="261">
        <v>0.05</v>
      </c>
      <c r="J231" s="261">
        <v>1.77</v>
      </c>
      <c r="K231" s="261">
        <v>1.75</v>
      </c>
      <c r="L231" s="263">
        <v>7</v>
      </c>
      <c r="M231" s="252">
        <v>161</v>
      </c>
      <c r="N231" s="261">
        <v>2.94</v>
      </c>
      <c r="O231" s="263">
        <v>3</v>
      </c>
      <c r="P231" s="263">
        <v>2.9</v>
      </c>
      <c r="Q231" s="263">
        <v>6.2</v>
      </c>
    </row>
    <row r="232" spans="1:17" ht="12.75">
      <c r="A232" s="223" t="str">
        <f>HYPERLINK("http://ct.wwsires.com/bull/7HO12418","SPARK")</f>
        <v>SPARK</v>
      </c>
      <c r="B232" t="s">
        <v>429</v>
      </c>
      <c r="C232" t="s">
        <v>430</v>
      </c>
      <c r="D232">
        <v>2539</v>
      </c>
      <c r="E232">
        <v>2427</v>
      </c>
      <c r="F232">
        <v>65</v>
      </c>
      <c r="G232" s="261">
        <v>-0.09</v>
      </c>
      <c r="H232">
        <v>66</v>
      </c>
      <c r="I232" s="261">
        <v>-0.03</v>
      </c>
      <c r="J232" s="261">
        <v>1.6</v>
      </c>
      <c r="K232" s="261">
        <v>1.65</v>
      </c>
      <c r="L232" s="263">
        <v>7.3</v>
      </c>
      <c r="M232" s="252">
        <v>161</v>
      </c>
      <c r="N232" s="261">
        <v>2.7</v>
      </c>
      <c r="O232" s="263">
        <v>0.3</v>
      </c>
      <c r="P232" s="263">
        <v>-0.1</v>
      </c>
      <c r="Q232" s="263">
        <v>5.8</v>
      </c>
    </row>
    <row r="233" spans="1:17" ht="12.75">
      <c r="A233" s="224" t="str">
        <f>HYPERLINK("http://ct.wwsires.com/bull/7HO13811","SANDOR")</f>
        <v>SANDOR</v>
      </c>
      <c r="B233" t="s">
        <v>431</v>
      </c>
      <c r="C233" t="s">
        <v>432</v>
      </c>
      <c r="D233">
        <v>2780</v>
      </c>
      <c r="E233">
        <v>1198</v>
      </c>
      <c r="F233">
        <v>72</v>
      </c>
      <c r="G233" s="261">
        <v>0.1</v>
      </c>
      <c r="H233">
        <v>56</v>
      </c>
      <c r="I233" s="261">
        <v>0.07</v>
      </c>
      <c r="J233" s="261">
        <v>2.12</v>
      </c>
      <c r="K233" s="261">
        <v>1.85</v>
      </c>
      <c r="L233" s="263">
        <v>8.8</v>
      </c>
      <c r="M233" s="252">
        <v>160</v>
      </c>
      <c r="N233" s="261">
        <v>2.69</v>
      </c>
      <c r="O233" s="263">
        <v>3.9</v>
      </c>
      <c r="P233" s="263">
        <v>3.9</v>
      </c>
      <c r="Q233" s="263">
        <v>5.9</v>
      </c>
    </row>
    <row r="234" spans="1:17" ht="12.75">
      <c r="A234" s="225" t="str">
        <f>HYPERLINK("http://ct.wwsires.com/bull/7HO12949","M-BOOM")</f>
        <v>M-BOOM</v>
      </c>
      <c r="B234" t="s">
        <v>433</v>
      </c>
      <c r="C234" t="s">
        <v>155</v>
      </c>
      <c r="D234">
        <v>2712</v>
      </c>
      <c r="E234">
        <v>957</v>
      </c>
      <c r="F234">
        <v>78</v>
      </c>
      <c r="G234" s="261">
        <v>0.16</v>
      </c>
      <c r="H234">
        <v>41</v>
      </c>
      <c r="I234" s="261">
        <v>0.04</v>
      </c>
      <c r="J234" s="261">
        <v>2.37</v>
      </c>
      <c r="K234" s="261">
        <v>2.7800000000000002</v>
      </c>
      <c r="L234" s="263">
        <v>7.8</v>
      </c>
      <c r="M234" s="252">
        <v>160</v>
      </c>
      <c r="N234" s="261">
        <v>2.88</v>
      </c>
      <c r="O234" s="263">
        <v>3.3</v>
      </c>
      <c r="P234" s="263">
        <v>3.1</v>
      </c>
      <c r="Q234" s="263">
        <v>6.3</v>
      </c>
    </row>
    <row r="235" spans="1:17" ht="12.75">
      <c r="A235" s="226" t="str">
        <f>HYPERLINK("http://ct.wwsires.com/bull/14HO07811","ACCELRENOWN")</f>
        <v>ACCELRENOWN</v>
      </c>
      <c r="B235" t="s">
        <v>434</v>
      </c>
      <c r="C235" t="s">
        <v>435</v>
      </c>
      <c r="D235">
        <v>2724</v>
      </c>
      <c r="E235">
        <v>1256</v>
      </c>
      <c r="F235">
        <v>84</v>
      </c>
      <c r="G235" s="261">
        <v>0.14</v>
      </c>
      <c r="H235">
        <v>45</v>
      </c>
      <c r="I235" s="261">
        <v>0.03</v>
      </c>
      <c r="J235" s="261">
        <v>2.32</v>
      </c>
      <c r="K235" s="261">
        <v>2.65</v>
      </c>
      <c r="L235" s="263">
        <v>6.9</v>
      </c>
      <c r="M235" s="252">
        <v>160</v>
      </c>
      <c r="N235" s="261">
        <v>2.88</v>
      </c>
      <c r="O235" s="263">
        <v>2.6</v>
      </c>
      <c r="P235" s="263">
        <v>2.3</v>
      </c>
      <c r="Q235" s="263">
        <v>7.3</v>
      </c>
    </row>
    <row r="236" spans="1:17" ht="12.75">
      <c r="A236" s="227" t="str">
        <f>HYPERLINK("http://ct.wwsires.com/bull/7HO12866","NICHOLAS")</f>
        <v>NICHOLAS</v>
      </c>
      <c r="B236" t="s">
        <v>436</v>
      </c>
      <c r="C236" t="s">
        <v>437</v>
      </c>
      <c r="D236">
        <v>2592</v>
      </c>
      <c r="E236">
        <v>1623</v>
      </c>
      <c r="F236">
        <v>70</v>
      </c>
      <c r="G236" s="261">
        <v>0.04</v>
      </c>
      <c r="H236">
        <v>55</v>
      </c>
      <c r="I236" s="261">
        <v>0.02</v>
      </c>
      <c r="J236" s="261">
        <v>1.77</v>
      </c>
      <c r="K236" s="261">
        <v>1.51</v>
      </c>
      <c r="L236" s="263">
        <v>8.4</v>
      </c>
      <c r="M236" s="252">
        <v>160</v>
      </c>
      <c r="N236" s="261">
        <v>2.77</v>
      </c>
      <c r="O236" s="263">
        <v>1.6</v>
      </c>
      <c r="P236" s="263">
        <v>1.6</v>
      </c>
      <c r="Q236" s="263">
        <v>6.1</v>
      </c>
    </row>
    <row r="237" spans="1:17" ht="12.75">
      <c r="A237" s="228" t="str">
        <f>HYPERLINK("http://ct.wwsires.com/bull/509HO13468","SNAP")</f>
        <v>SNAP</v>
      </c>
      <c r="B237" t="s">
        <v>438</v>
      </c>
      <c r="C237" t="s">
        <v>439</v>
      </c>
      <c r="D237">
        <v>2603</v>
      </c>
      <c r="E237">
        <v>1231</v>
      </c>
      <c r="F237">
        <v>75</v>
      </c>
      <c r="G237" s="261">
        <v>0.1</v>
      </c>
      <c r="H237">
        <v>42</v>
      </c>
      <c r="I237" s="261">
        <v>0.02</v>
      </c>
      <c r="J237" s="261">
        <v>1.19</v>
      </c>
      <c r="K237" s="261">
        <v>1.8599999999999999</v>
      </c>
      <c r="L237" s="263">
        <v>7.7</v>
      </c>
      <c r="M237" s="252">
        <v>160</v>
      </c>
      <c r="N237" s="261">
        <v>2.88</v>
      </c>
      <c r="O237" s="263">
        <v>4</v>
      </c>
      <c r="P237" s="263">
        <v>4</v>
      </c>
      <c r="Q237" s="263">
        <v>8.7</v>
      </c>
    </row>
    <row r="238" spans="1:17" ht="12.75">
      <c r="A238" s="229" t="str">
        <f>HYPERLINK("http://ct.wwsires.com/bull/7HO11314","MOGUL")</f>
        <v>MOGUL</v>
      </c>
      <c r="B238" t="s">
        <v>440</v>
      </c>
      <c r="C238" t="s">
        <v>441</v>
      </c>
      <c r="D238">
        <v>2503</v>
      </c>
      <c r="E238">
        <v>1236</v>
      </c>
      <c r="F238">
        <v>78</v>
      </c>
      <c r="G238" s="261">
        <v>0.11</v>
      </c>
      <c r="H238">
        <v>40</v>
      </c>
      <c r="I238" s="261">
        <v>0.01</v>
      </c>
      <c r="J238" s="261">
        <v>2.2</v>
      </c>
      <c r="K238" s="261">
        <v>3.09</v>
      </c>
      <c r="L238" s="263">
        <v>3.9</v>
      </c>
      <c r="M238" s="252">
        <v>159</v>
      </c>
      <c r="N238" s="261">
        <v>3</v>
      </c>
      <c r="O238" s="263">
        <v>0.4</v>
      </c>
      <c r="P238" s="263">
        <v>-0.1</v>
      </c>
      <c r="Q238" s="263">
        <v>6</v>
      </c>
    </row>
    <row r="239" spans="1:17" ht="12.75">
      <c r="A239" s="230" t="str">
        <f>HYPERLINK("http://ct.wwsires.com/bull/7HO12864","INFERNO")</f>
        <v>INFERNO</v>
      </c>
      <c r="B239" t="s">
        <v>442</v>
      </c>
      <c r="C239" t="s">
        <v>443</v>
      </c>
      <c r="D239">
        <v>2686</v>
      </c>
      <c r="E239">
        <v>1063</v>
      </c>
      <c r="F239">
        <v>81</v>
      </c>
      <c r="G239" s="261">
        <v>0.16</v>
      </c>
      <c r="H239">
        <v>42</v>
      </c>
      <c r="I239" s="261">
        <v>0.03</v>
      </c>
      <c r="J239" s="261">
        <v>1.72</v>
      </c>
      <c r="K239" s="261">
        <v>2.24</v>
      </c>
      <c r="L239" s="263">
        <v>8.1</v>
      </c>
      <c r="M239" s="252">
        <v>159</v>
      </c>
      <c r="N239" s="261">
        <v>2.86</v>
      </c>
      <c r="O239" s="263">
        <v>3.8</v>
      </c>
      <c r="P239" s="263">
        <v>3.7</v>
      </c>
      <c r="Q239" s="263">
        <v>6.8</v>
      </c>
    </row>
    <row r="240" spans="1:17" ht="12.75">
      <c r="A240" s="231" t="str">
        <f>HYPERLINK("http://ct.wwsires.com/bull/7HO12801","SUMO")</f>
        <v>SUMO</v>
      </c>
      <c r="B240" t="s">
        <v>444</v>
      </c>
      <c r="C240" t="s">
        <v>445</v>
      </c>
      <c r="D240">
        <v>2597</v>
      </c>
      <c r="E240">
        <v>1523</v>
      </c>
      <c r="F240">
        <v>63</v>
      </c>
      <c r="G240" s="261">
        <v>0.03</v>
      </c>
      <c r="H240">
        <v>57</v>
      </c>
      <c r="I240" s="261">
        <v>0.04</v>
      </c>
      <c r="J240" s="261">
        <v>1.34</v>
      </c>
      <c r="K240" s="261">
        <v>1.19</v>
      </c>
      <c r="L240" s="263">
        <v>8</v>
      </c>
      <c r="M240" s="252">
        <v>159</v>
      </c>
      <c r="N240" s="261">
        <v>2.86</v>
      </c>
      <c r="O240" s="263">
        <v>3.5</v>
      </c>
      <c r="P240" s="263">
        <v>3.8</v>
      </c>
      <c r="Q240" s="263">
        <v>8</v>
      </c>
    </row>
    <row r="241" spans="1:17" ht="12.75">
      <c r="A241" s="232" t="str">
        <f>HYPERLINK("http://ct.wwsires.com/bull/7HO13461","REMINGTON")</f>
        <v>REMINGTON</v>
      </c>
      <c r="B241" t="s">
        <v>446</v>
      </c>
      <c r="C241" t="s">
        <v>447</v>
      </c>
      <c r="D241">
        <v>2616</v>
      </c>
      <c r="E241">
        <v>2097</v>
      </c>
      <c r="F241">
        <v>60</v>
      </c>
      <c r="G241" s="261">
        <v>-0.06</v>
      </c>
      <c r="H241">
        <v>67</v>
      </c>
      <c r="I241" s="261">
        <v>0.01</v>
      </c>
      <c r="J241" s="261">
        <v>2.16</v>
      </c>
      <c r="K241" s="261">
        <v>1.38</v>
      </c>
      <c r="L241" s="263">
        <v>7.1</v>
      </c>
      <c r="M241" s="252">
        <v>159</v>
      </c>
      <c r="N241" s="261">
        <v>2.86</v>
      </c>
      <c r="O241" s="263">
        <v>2.6</v>
      </c>
      <c r="P241" s="263">
        <v>1.9</v>
      </c>
      <c r="Q241" s="263">
        <v>8</v>
      </c>
    </row>
    <row r="242" spans="1:17" ht="12.75">
      <c r="A242" s="233" t="str">
        <f>HYPERLINK("http://ct.wwsires.com/bull/14HO07768","NOAH")</f>
        <v>NOAH</v>
      </c>
      <c r="B242" t="s">
        <v>448</v>
      </c>
      <c r="C242" t="s">
        <v>449</v>
      </c>
      <c r="D242">
        <v>2544</v>
      </c>
      <c r="E242">
        <v>1661</v>
      </c>
      <c r="F242">
        <v>57</v>
      </c>
      <c r="G242" s="261">
        <v>-0.02</v>
      </c>
      <c r="H242">
        <v>60</v>
      </c>
      <c r="I242" s="261">
        <v>0.04</v>
      </c>
      <c r="J242" s="261">
        <v>1.2</v>
      </c>
      <c r="K242" s="261">
        <v>1.2</v>
      </c>
      <c r="L242" s="263">
        <v>7.4</v>
      </c>
      <c r="M242" s="252">
        <v>159</v>
      </c>
      <c r="N242" s="261">
        <v>2.75</v>
      </c>
      <c r="O242" s="263">
        <v>2.7</v>
      </c>
      <c r="P242" s="263">
        <v>2.6</v>
      </c>
      <c r="Q242" s="263">
        <v>8</v>
      </c>
    </row>
    <row r="243" spans="1:17" ht="12.75">
      <c r="A243" s="234" t="str">
        <f>HYPERLINK("http://ct.wwsires.com/bull/7HO12157","GREGARIOUS")</f>
        <v>GREGARIOUS</v>
      </c>
      <c r="B243" t="s">
        <v>450</v>
      </c>
      <c r="C243" t="s">
        <v>451</v>
      </c>
      <c r="D243">
        <v>2534</v>
      </c>
      <c r="E243">
        <v>1028</v>
      </c>
      <c r="F243">
        <v>78</v>
      </c>
      <c r="G243" s="261">
        <v>0.14</v>
      </c>
      <c r="H243">
        <v>45</v>
      </c>
      <c r="I243" s="261">
        <v>0.05</v>
      </c>
      <c r="J243" s="261">
        <v>1.96</v>
      </c>
      <c r="K243" s="261">
        <v>2.38</v>
      </c>
      <c r="L243" s="263">
        <v>3.9</v>
      </c>
      <c r="M243" s="252">
        <v>158</v>
      </c>
      <c r="N243" s="261">
        <v>3.13</v>
      </c>
      <c r="O243" s="263">
        <v>2.9</v>
      </c>
      <c r="P243" s="263">
        <v>2.5</v>
      </c>
      <c r="Q243" s="263">
        <v>5.7</v>
      </c>
    </row>
    <row r="244" spans="1:17" ht="12.75">
      <c r="A244" s="235" t="str">
        <f>HYPERLINK("http://ct.wwsires.com/bull/14HO07631","MONTREAL")</f>
        <v>MONTREAL</v>
      </c>
      <c r="B244" t="s">
        <v>452</v>
      </c>
      <c r="C244" t="s">
        <v>453</v>
      </c>
      <c r="D244">
        <v>2568</v>
      </c>
      <c r="E244">
        <v>2210</v>
      </c>
      <c r="F244">
        <v>69</v>
      </c>
      <c r="G244" s="261">
        <v>-0.05</v>
      </c>
      <c r="H244">
        <v>58</v>
      </c>
      <c r="I244" s="261">
        <v>-0.03</v>
      </c>
      <c r="J244" s="261">
        <v>1.5699999999999998</v>
      </c>
      <c r="K244" s="261">
        <v>2</v>
      </c>
      <c r="L244" s="263">
        <v>6.9</v>
      </c>
      <c r="M244" s="252">
        <v>158</v>
      </c>
      <c r="N244" s="261">
        <v>2.92</v>
      </c>
      <c r="O244" s="263">
        <v>1.7</v>
      </c>
      <c r="P244" s="263">
        <v>1.7</v>
      </c>
      <c r="Q244" s="263">
        <v>6</v>
      </c>
    </row>
    <row r="245" spans="1:17" ht="12.75">
      <c r="A245" s="236" t="str">
        <f>HYPERLINK("http://ct.wwsires.com/bull/250HO12975","PHARO")</f>
        <v>PHARO</v>
      </c>
      <c r="B245" t="s">
        <v>454</v>
      </c>
      <c r="C245" t="s">
        <v>374</v>
      </c>
      <c r="D245">
        <v>2717</v>
      </c>
      <c r="E245">
        <v>1415</v>
      </c>
      <c r="F245">
        <v>66</v>
      </c>
      <c r="G245" s="261">
        <v>0.05</v>
      </c>
      <c r="H245">
        <v>59</v>
      </c>
      <c r="I245" s="261">
        <v>0.06</v>
      </c>
      <c r="J245" s="261">
        <v>3.11</v>
      </c>
      <c r="K245" s="261">
        <v>2.63</v>
      </c>
      <c r="L245" s="263">
        <v>7.7</v>
      </c>
      <c r="M245" s="252">
        <v>158</v>
      </c>
      <c r="N245" s="261">
        <v>2.7</v>
      </c>
      <c r="O245" s="263">
        <v>2.1</v>
      </c>
      <c r="P245" s="263">
        <v>1.7</v>
      </c>
      <c r="Q245" s="263">
        <v>6.5</v>
      </c>
    </row>
    <row r="246" spans="1:17" ht="12.75">
      <c r="A246" s="237" t="str">
        <f>HYPERLINK("http://ct.wwsires.com/bull/714HO00043","MINKA")</f>
        <v>MINKA</v>
      </c>
      <c r="B246" t="s">
        <v>455</v>
      </c>
      <c r="C246" t="s">
        <v>456</v>
      </c>
      <c r="D246">
        <v>2477</v>
      </c>
      <c r="E246">
        <v>1462</v>
      </c>
      <c r="F246">
        <v>68</v>
      </c>
      <c r="G246" s="261">
        <v>0.05</v>
      </c>
      <c r="H246">
        <v>52</v>
      </c>
      <c r="I246" s="261">
        <v>0.03</v>
      </c>
      <c r="J246" s="261">
        <v>2.33</v>
      </c>
      <c r="K246" s="261">
        <v>2.17</v>
      </c>
      <c r="L246" s="263">
        <v>4.6</v>
      </c>
      <c r="M246" s="252">
        <v>157</v>
      </c>
      <c r="N246" s="261">
        <v>3</v>
      </c>
      <c r="O246" s="263">
        <v>0.5</v>
      </c>
      <c r="P246" s="263">
        <v>0.4</v>
      </c>
      <c r="Q246" s="263">
        <v>6.4</v>
      </c>
    </row>
    <row r="247" spans="1:17" ht="12.75">
      <c r="A247" s="238" t="str">
        <f>HYPERLINK("http://ct.wwsires.com/bull/7HO12179","FEARLESS")</f>
        <v>FEARLESS</v>
      </c>
      <c r="B247" t="s">
        <v>457</v>
      </c>
      <c r="C247" t="s">
        <v>458</v>
      </c>
      <c r="D247">
        <v>2363</v>
      </c>
      <c r="E247">
        <v>918</v>
      </c>
      <c r="F247">
        <v>78</v>
      </c>
      <c r="G247" s="261">
        <v>0.16</v>
      </c>
      <c r="H247">
        <v>38</v>
      </c>
      <c r="I247" s="261">
        <v>0.04</v>
      </c>
      <c r="J247" s="261">
        <v>1.9300000000000002</v>
      </c>
      <c r="K247" s="261">
        <v>1.67</v>
      </c>
      <c r="L247" s="263">
        <v>3.3</v>
      </c>
      <c r="M247" s="252">
        <v>157</v>
      </c>
      <c r="N247" s="261">
        <v>2.82</v>
      </c>
      <c r="O247" s="263">
        <v>-0.6</v>
      </c>
      <c r="P247" s="263">
        <v>-0.5</v>
      </c>
      <c r="Q247" s="263">
        <v>8.6</v>
      </c>
    </row>
    <row r="248" spans="1:17" ht="12.75">
      <c r="A248" s="239" t="str">
        <f>HYPERLINK("http://ct.wwsires.com/bull/14HO14049","MAGOO")</f>
        <v>MAGOO</v>
      </c>
      <c r="B248" t="s">
        <v>459</v>
      </c>
      <c r="C248" t="s">
        <v>332</v>
      </c>
      <c r="D248">
        <v>2760</v>
      </c>
      <c r="E248">
        <v>1844</v>
      </c>
      <c r="F248">
        <v>59</v>
      </c>
      <c r="G248" s="261">
        <v>-0.04</v>
      </c>
      <c r="H248">
        <v>55</v>
      </c>
      <c r="I248" s="261">
        <v>0</v>
      </c>
      <c r="J248" s="261">
        <v>2.06</v>
      </c>
      <c r="K248" s="261">
        <v>2.23</v>
      </c>
      <c r="L248" s="263">
        <v>10.4</v>
      </c>
      <c r="M248" s="252">
        <v>157</v>
      </c>
      <c r="N248" s="261">
        <v>2.7800000000000002</v>
      </c>
      <c r="O248" s="263">
        <v>3.8</v>
      </c>
      <c r="P248" s="263">
        <v>4.1</v>
      </c>
      <c r="Q248" s="263">
        <v>6.4</v>
      </c>
    </row>
    <row r="249" spans="1:17" ht="12.75">
      <c r="A249" s="240" t="str">
        <f>HYPERLINK("http://ct.wwsires.com/bull/7HO12972","CHARGE")</f>
        <v>CHARGE</v>
      </c>
      <c r="B249" t="s">
        <v>460</v>
      </c>
      <c r="C249" t="s">
        <v>461</v>
      </c>
      <c r="D249">
        <v>2673</v>
      </c>
      <c r="E249">
        <v>1478</v>
      </c>
      <c r="F249">
        <v>74</v>
      </c>
      <c r="G249" s="261">
        <v>0.07</v>
      </c>
      <c r="H249">
        <v>54</v>
      </c>
      <c r="I249" s="261">
        <v>0.03</v>
      </c>
      <c r="J249" s="261">
        <v>2.13</v>
      </c>
      <c r="K249" s="261">
        <v>2.33</v>
      </c>
      <c r="L249" s="263">
        <v>7.2</v>
      </c>
      <c r="M249" s="252">
        <v>156</v>
      </c>
      <c r="N249" s="261">
        <v>2.85</v>
      </c>
      <c r="O249" s="263">
        <v>2.4</v>
      </c>
      <c r="P249" s="263">
        <v>2.6</v>
      </c>
      <c r="Q249" s="263">
        <v>7.9</v>
      </c>
    </row>
    <row r="250" spans="1:17" ht="12.75">
      <c r="A250" s="241" t="str">
        <f>HYPERLINK("http://ct.wwsires.com/bull/7HO13826","RUSTY-RED")</f>
        <v>RUSTY-RED</v>
      </c>
      <c r="B250" t="s">
        <v>462</v>
      </c>
      <c r="C250" t="s">
        <v>463</v>
      </c>
      <c r="D250">
        <v>2521</v>
      </c>
      <c r="E250">
        <v>959</v>
      </c>
      <c r="F250">
        <v>70</v>
      </c>
      <c r="G250" s="261">
        <v>0.13</v>
      </c>
      <c r="H250">
        <v>46</v>
      </c>
      <c r="I250" s="261">
        <v>0.07</v>
      </c>
      <c r="J250" s="261">
        <v>1.78</v>
      </c>
      <c r="K250" s="261">
        <v>2.24</v>
      </c>
      <c r="L250" s="263">
        <v>5.3</v>
      </c>
      <c r="M250" s="252">
        <v>156</v>
      </c>
      <c r="N250" s="261">
        <v>2.73</v>
      </c>
      <c r="O250" s="263">
        <v>0.5</v>
      </c>
      <c r="P250" s="263">
        <v>0.1</v>
      </c>
      <c r="Q250" s="263">
        <v>7.1</v>
      </c>
    </row>
    <row r="251" spans="1:17" ht="12.75">
      <c r="A251" s="242" t="str">
        <f>HYPERLINK("http://ct.wwsires.com/bull/14HO07842","MAYO")</f>
        <v>MAYO</v>
      </c>
      <c r="B251" t="s">
        <v>464</v>
      </c>
      <c r="C251" t="s">
        <v>465</v>
      </c>
      <c r="D251">
        <v>2632</v>
      </c>
      <c r="E251">
        <v>1059</v>
      </c>
      <c r="F251">
        <v>64</v>
      </c>
      <c r="G251" s="261">
        <v>0.09</v>
      </c>
      <c r="H251">
        <v>49</v>
      </c>
      <c r="I251" s="261">
        <v>0.06</v>
      </c>
      <c r="J251" s="261">
        <v>1.9100000000000001</v>
      </c>
      <c r="K251" s="261">
        <v>1.95</v>
      </c>
      <c r="L251" s="263">
        <v>7.5</v>
      </c>
      <c r="M251" s="252">
        <v>156</v>
      </c>
      <c r="N251" s="261">
        <v>2.81</v>
      </c>
      <c r="O251" s="263">
        <v>3.8</v>
      </c>
      <c r="P251" s="263">
        <v>3.6</v>
      </c>
      <c r="Q251" s="263">
        <v>7.5</v>
      </c>
    </row>
    <row r="252" spans="1:17" ht="12.75">
      <c r="A252" s="243" t="str">
        <f>HYPERLINK("http://ct.wwsires.com/bull/7HO13662","JAXSON")</f>
        <v>JAXSON</v>
      </c>
      <c r="B252" t="s">
        <v>466</v>
      </c>
      <c r="C252" t="s">
        <v>467</v>
      </c>
      <c r="D252">
        <v>2703</v>
      </c>
      <c r="E252">
        <v>1228</v>
      </c>
      <c r="F252">
        <v>74</v>
      </c>
      <c r="G252" s="261">
        <v>0.11</v>
      </c>
      <c r="H252">
        <v>52</v>
      </c>
      <c r="I252" s="261">
        <v>0.05</v>
      </c>
      <c r="J252" s="261">
        <v>2.5</v>
      </c>
      <c r="K252" s="261">
        <v>2.08</v>
      </c>
      <c r="L252" s="263">
        <v>7.6</v>
      </c>
      <c r="M252" s="252">
        <v>154</v>
      </c>
      <c r="N252" s="261">
        <v>2.58</v>
      </c>
      <c r="O252" s="263">
        <v>2.3</v>
      </c>
      <c r="P252" s="263">
        <v>1.8</v>
      </c>
      <c r="Q252" s="263">
        <v>7.2</v>
      </c>
    </row>
    <row r="253" spans="1:17" ht="12.75">
      <c r="A253" s="244" t="str">
        <f>HYPERLINK("http://ct.wwsires.com/bull/7HO12181","FIRESTORM")</f>
        <v>FIRESTORM</v>
      </c>
      <c r="B253" t="s">
        <v>468</v>
      </c>
      <c r="C253" t="s">
        <v>469</v>
      </c>
      <c r="D253">
        <v>2316</v>
      </c>
      <c r="E253">
        <v>982</v>
      </c>
      <c r="F253">
        <v>72</v>
      </c>
      <c r="G253" s="261">
        <v>0.13</v>
      </c>
      <c r="H253">
        <v>37</v>
      </c>
      <c r="I253" s="261">
        <v>0.03</v>
      </c>
      <c r="J253" s="261">
        <v>1.58</v>
      </c>
      <c r="K253" s="261">
        <v>0.9</v>
      </c>
      <c r="L253" s="263">
        <v>3.7</v>
      </c>
      <c r="M253" s="252">
        <v>154</v>
      </c>
      <c r="N253" s="261">
        <v>2.93</v>
      </c>
      <c r="O253" s="263">
        <v>0.3</v>
      </c>
      <c r="P253" s="263">
        <v>-0.1</v>
      </c>
      <c r="Q253" s="263">
        <v>8.1</v>
      </c>
    </row>
    <row r="254" spans="1:17" ht="12.75">
      <c r="A254" s="245" t="str">
        <f>HYPERLINK("http://ct.wwsires.com/bull/250HO13261","MISSLE")</f>
        <v>MISSLE</v>
      </c>
      <c r="B254" t="s">
        <v>470</v>
      </c>
      <c r="C254" t="s">
        <v>255</v>
      </c>
      <c r="D254">
        <v>2711</v>
      </c>
      <c r="E254">
        <v>1820</v>
      </c>
      <c r="F254">
        <v>67</v>
      </c>
      <c r="G254" s="261">
        <v>0</v>
      </c>
      <c r="H254">
        <v>55</v>
      </c>
      <c r="I254" s="261">
        <v>0</v>
      </c>
      <c r="J254" s="261">
        <v>2.65</v>
      </c>
      <c r="K254" s="261">
        <v>2.56</v>
      </c>
      <c r="L254" s="263">
        <v>8.3</v>
      </c>
      <c r="M254" s="252">
        <v>154</v>
      </c>
      <c r="N254" s="261">
        <v>2.73</v>
      </c>
      <c r="O254" s="263">
        <v>3.6</v>
      </c>
      <c r="P254" s="263">
        <v>3.4</v>
      </c>
      <c r="Q254" s="263">
        <v>8.4</v>
      </c>
    </row>
    <row r="255" spans="1:17" ht="12.75">
      <c r="A255" s="246" t="str">
        <f>HYPERLINK("http://ct.wwsires.com/bull/7HO14163","DRASTIC-P")</f>
        <v>DRASTIC-P</v>
      </c>
      <c r="B255" t="s">
        <v>471</v>
      </c>
      <c r="C255" t="s">
        <v>472</v>
      </c>
      <c r="D255">
        <v>2785</v>
      </c>
      <c r="E255">
        <v>891</v>
      </c>
      <c r="F255">
        <v>70</v>
      </c>
      <c r="G255" s="261">
        <v>0.13</v>
      </c>
      <c r="H255">
        <v>48</v>
      </c>
      <c r="I255" s="261">
        <v>0.08</v>
      </c>
      <c r="J255" s="261">
        <v>2.63</v>
      </c>
      <c r="K255" s="261">
        <v>2.71</v>
      </c>
      <c r="L255" s="263">
        <v>9.2</v>
      </c>
      <c r="M255" s="252">
        <v>153</v>
      </c>
      <c r="N255" s="261">
        <v>2.8</v>
      </c>
      <c r="O255" s="263">
        <v>3.9</v>
      </c>
      <c r="P255" s="263">
        <v>3.5</v>
      </c>
      <c r="Q255" s="263">
        <v>6.6</v>
      </c>
    </row>
    <row r="256" spans="1:17" ht="12.75">
      <c r="A256" s="247" t="str">
        <f>HYPERLINK("http://ct.wwsires.com/bull/507HO12993","HUMBLENKIND")</f>
        <v>HUMBLENKIND</v>
      </c>
      <c r="B256" t="s">
        <v>473</v>
      </c>
      <c r="C256" t="s">
        <v>474</v>
      </c>
      <c r="D256">
        <v>2874</v>
      </c>
      <c r="E256">
        <v>1251</v>
      </c>
      <c r="F256">
        <v>65</v>
      </c>
      <c r="G256" s="261">
        <v>0.06</v>
      </c>
      <c r="H256">
        <v>48</v>
      </c>
      <c r="I256" s="261">
        <v>0.04</v>
      </c>
      <c r="J256" s="261">
        <v>3.08</v>
      </c>
      <c r="K256" s="261">
        <v>3.24</v>
      </c>
      <c r="L256" s="263">
        <v>10.7</v>
      </c>
      <c r="M256" s="252">
        <v>153</v>
      </c>
      <c r="N256" s="261">
        <v>2.82</v>
      </c>
      <c r="O256" s="263">
        <v>4.4</v>
      </c>
      <c r="P256" s="263">
        <v>4.4</v>
      </c>
      <c r="Q256" s="263">
        <v>5.9</v>
      </c>
    </row>
    <row r="257" spans="1:17" ht="12.75">
      <c r="A257" s="248" t="str">
        <f>HYPERLINK("http://ct.wwsires.com/bull/7HO12195","BUTLER")</f>
        <v>BUTLER</v>
      </c>
      <c r="B257" t="s">
        <v>475</v>
      </c>
      <c r="C257" t="s">
        <v>476</v>
      </c>
      <c r="D257">
        <v>2526</v>
      </c>
      <c r="E257">
        <v>1809</v>
      </c>
      <c r="F257">
        <v>52</v>
      </c>
      <c r="G257" s="261">
        <v>-0.06</v>
      </c>
      <c r="H257">
        <v>62</v>
      </c>
      <c r="I257" s="261">
        <v>0.02</v>
      </c>
      <c r="J257" s="261">
        <v>1.51</v>
      </c>
      <c r="K257" s="261">
        <v>1.16</v>
      </c>
      <c r="L257" s="263">
        <v>6.8</v>
      </c>
      <c r="M257" s="252">
        <v>153</v>
      </c>
      <c r="N257" s="261">
        <v>2.89</v>
      </c>
      <c r="O257" s="263">
        <v>2</v>
      </c>
      <c r="P257" s="263">
        <v>1.3</v>
      </c>
      <c r="Q257" s="263">
        <v>5.3</v>
      </c>
    </row>
    <row r="258" spans="1:17" ht="12.75">
      <c r="A258" s="249" t="str">
        <f>HYPERLINK("http://ct.wwsires.com/bull/7HO13035","MODESTO")</f>
        <v>MODESTO</v>
      </c>
      <c r="B258" t="s">
        <v>477</v>
      </c>
      <c r="C258" t="s">
        <v>478</v>
      </c>
      <c r="D258">
        <v>2569</v>
      </c>
      <c r="E258">
        <v>1807</v>
      </c>
      <c r="F258">
        <v>62</v>
      </c>
      <c r="G258" s="261">
        <v>-0.02</v>
      </c>
      <c r="H258">
        <v>64</v>
      </c>
      <c r="I258" s="261">
        <v>0.03</v>
      </c>
      <c r="J258" s="261">
        <v>1.58</v>
      </c>
      <c r="K258" s="261">
        <v>1.18</v>
      </c>
      <c r="L258" s="263">
        <v>7.1</v>
      </c>
      <c r="M258" s="252">
        <v>153</v>
      </c>
      <c r="N258" s="261">
        <v>2.87</v>
      </c>
      <c r="O258" s="263">
        <v>2.3</v>
      </c>
      <c r="P258" s="263">
        <v>2.2</v>
      </c>
      <c r="Q258" s="263">
        <v>7.1</v>
      </c>
    </row>
    <row r="259" spans="1:17" ht="12.75">
      <c r="A259" s="250" t="str">
        <f>HYPERLINK("http://ct.wwsires.com/bull/7HO12605","AZOR")</f>
        <v>AZOR</v>
      </c>
      <c r="B259" t="s">
        <v>479</v>
      </c>
      <c r="C259" t="s">
        <v>480</v>
      </c>
      <c r="D259">
        <v>2660</v>
      </c>
      <c r="E259">
        <v>1693</v>
      </c>
      <c r="F259">
        <v>60</v>
      </c>
      <c r="G259" s="261">
        <v>-0.01</v>
      </c>
      <c r="H259">
        <v>54</v>
      </c>
      <c r="I259" s="261">
        <v>0.01</v>
      </c>
      <c r="J259" s="261">
        <v>2.05</v>
      </c>
      <c r="K259" s="261">
        <v>2.76</v>
      </c>
      <c r="L259" s="263">
        <v>6.7</v>
      </c>
      <c r="M259" s="252">
        <v>153</v>
      </c>
      <c r="N259" s="261">
        <v>2.85</v>
      </c>
      <c r="O259" s="263">
        <v>3.3</v>
      </c>
      <c r="P259" s="263">
        <v>3.5</v>
      </c>
      <c r="Q259" s="263">
        <v>6.4</v>
      </c>
    </row>
    <row r="260" spans="1:17" ht="12.75">
      <c r="A260" s="251" t="str">
        <f>HYPERLINK("http://ct.wwsires.com/bull/14HO07804","MYLES")</f>
        <v>MYLES</v>
      </c>
      <c r="B260" t="s">
        <v>481</v>
      </c>
      <c r="C260" t="s">
        <v>482</v>
      </c>
      <c r="D260">
        <v>2754</v>
      </c>
      <c r="E260">
        <v>1621</v>
      </c>
      <c r="F260">
        <v>66</v>
      </c>
      <c r="G260" s="261">
        <v>0.02</v>
      </c>
      <c r="H260">
        <v>53</v>
      </c>
      <c r="I260" s="261">
        <v>0.01</v>
      </c>
      <c r="J260" s="261">
        <v>1.8399999999999999</v>
      </c>
      <c r="K260" s="261">
        <v>2.31</v>
      </c>
      <c r="L260" s="263">
        <v>9.2</v>
      </c>
      <c r="M260" s="252">
        <v>153</v>
      </c>
      <c r="N260" s="261">
        <v>2.76</v>
      </c>
      <c r="O260" s="263">
        <v>4.6</v>
      </c>
      <c r="P260" s="263">
        <v>4.6</v>
      </c>
      <c r="Q260" s="263">
        <v>5.1</v>
      </c>
    </row>
    <row r="261" spans="1:17" ht="12.75">
      <c r="A261" s="251" t="str">
        <f>HYPERLINK("http://ct.wwsires.com/bull/14HO07878","FASTBREAK")</f>
        <v>FASTBREAK</v>
      </c>
      <c r="B261" t="s">
        <v>483</v>
      </c>
      <c r="C261" t="s">
        <v>484</v>
      </c>
      <c r="D261">
        <v>2674</v>
      </c>
      <c r="E261">
        <v>1884</v>
      </c>
      <c r="F261">
        <v>52</v>
      </c>
      <c r="G261" s="261">
        <v>-0.06</v>
      </c>
      <c r="H261">
        <v>65</v>
      </c>
      <c r="I261" s="261">
        <v>0.04</v>
      </c>
      <c r="J261" s="261">
        <v>1.7</v>
      </c>
      <c r="K261" s="261">
        <v>2.03</v>
      </c>
      <c r="L261" s="263">
        <v>8.5</v>
      </c>
      <c r="M261" s="252">
        <v>152</v>
      </c>
      <c r="N261" s="261">
        <v>2.8</v>
      </c>
      <c r="O261" s="263">
        <v>3.5</v>
      </c>
      <c r="P261" s="263">
        <v>3.5</v>
      </c>
      <c r="Q261" s="263">
        <v>6.7</v>
      </c>
    </row>
    <row r="262" spans="1:17" ht="12.75">
      <c r="A262" s="251" t="str">
        <f>HYPERLINK("http://ct.wwsires.com/bull/7HO11383","MORGAN")</f>
        <v>MORGAN</v>
      </c>
      <c r="B262" t="s">
        <v>485</v>
      </c>
      <c r="C262" t="s">
        <v>486</v>
      </c>
      <c r="D262">
        <v>2560</v>
      </c>
      <c r="E262">
        <v>1577</v>
      </c>
      <c r="F262">
        <v>63</v>
      </c>
      <c r="G262" s="261">
        <v>0.02</v>
      </c>
      <c r="H262">
        <v>54</v>
      </c>
      <c r="I262" s="261">
        <v>0.02</v>
      </c>
      <c r="J262" s="261">
        <v>1.53</v>
      </c>
      <c r="K262" s="261">
        <v>1.18</v>
      </c>
      <c r="L262" s="263">
        <v>7</v>
      </c>
      <c r="M262" s="252">
        <v>152</v>
      </c>
      <c r="N262" s="261">
        <v>2.8</v>
      </c>
      <c r="O262" s="263">
        <v>3</v>
      </c>
      <c r="P262" s="263">
        <v>3.1</v>
      </c>
      <c r="Q262" s="263">
        <v>7</v>
      </c>
    </row>
    <row r="263" spans="1:17" ht="12.75">
      <c r="A263" s="251" t="str">
        <f>HYPERLINK("http://ct.wwsires.com/bull/7HO12014","DAVINCI")</f>
        <v>DAVINCI</v>
      </c>
      <c r="B263" t="s">
        <v>487</v>
      </c>
      <c r="C263" t="s">
        <v>488</v>
      </c>
      <c r="D263">
        <v>2475</v>
      </c>
      <c r="E263">
        <v>689</v>
      </c>
      <c r="F263">
        <v>70</v>
      </c>
      <c r="G263" s="261">
        <v>0.16</v>
      </c>
      <c r="H263">
        <v>44</v>
      </c>
      <c r="I263" s="261">
        <v>0.08</v>
      </c>
      <c r="J263" s="261">
        <v>2.16</v>
      </c>
      <c r="K263" s="261">
        <v>2.56</v>
      </c>
      <c r="L263" s="263">
        <v>4.9</v>
      </c>
      <c r="M263" s="252">
        <v>152</v>
      </c>
      <c r="N263" s="261">
        <v>2.76</v>
      </c>
      <c r="O263" s="263">
        <v>-0.3</v>
      </c>
      <c r="P263" s="263">
        <v>-0.6</v>
      </c>
      <c r="Q263" s="263">
        <v>7</v>
      </c>
    </row>
    <row r="264" spans="1:17" ht="12.75">
      <c r="A264" s="251" t="str">
        <f>HYPERLINK("http://ct.wwsires.com/bull/7HO13573","MANNLEY")</f>
        <v>MANNLEY</v>
      </c>
      <c r="B264" t="s">
        <v>489</v>
      </c>
      <c r="C264" t="s">
        <v>490</v>
      </c>
      <c r="D264">
        <v>2624</v>
      </c>
      <c r="E264">
        <v>1237</v>
      </c>
      <c r="F264">
        <v>70</v>
      </c>
      <c r="G264" s="261">
        <v>0.08</v>
      </c>
      <c r="H264">
        <v>42</v>
      </c>
      <c r="I264" s="261">
        <v>0.02</v>
      </c>
      <c r="J264" s="261">
        <v>2.32</v>
      </c>
      <c r="K264" s="261">
        <v>2.37</v>
      </c>
      <c r="L264" s="263">
        <v>7</v>
      </c>
      <c r="M264" s="252">
        <v>151</v>
      </c>
      <c r="N264" s="261">
        <v>2.66</v>
      </c>
      <c r="O264" s="263">
        <v>2.7</v>
      </c>
      <c r="P264" s="263">
        <v>2.1</v>
      </c>
      <c r="Q264" s="263">
        <v>7.5</v>
      </c>
    </row>
    <row r="265" spans="1:17" ht="12.75">
      <c r="A265" s="251" t="str">
        <f>HYPERLINK("http://ct.wwsires.com/bull/14HO13603","JABARI")</f>
        <v>JABARI</v>
      </c>
      <c r="B265" t="s">
        <v>491</v>
      </c>
      <c r="C265" t="s">
        <v>492</v>
      </c>
      <c r="D265">
        <v>2681</v>
      </c>
      <c r="E265">
        <v>2150</v>
      </c>
      <c r="F265">
        <v>53</v>
      </c>
      <c r="G265" s="261">
        <v>-0.09</v>
      </c>
      <c r="H265">
        <v>73</v>
      </c>
      <c r="I265" s="261">
        <v>0.03</v>
      </c>
      <c r="J265" s="261">
        <v>2.26</v>
      </c>
      <c r="K265" s="261">
        <v>1.5899999999999999</v>
      </c>
      <c r="L265" s="263">
        <v>7.6</v>
      </c>
      <c r="M265" s="252">
        <v>151</v>
      </c>
      <c r="N265" s="261">
        <v>2.82</v>
      </c>
      <c r="O265" s="263">
        <v>3.4</v>
      </c>
      <c r="P265" s="263">
        <v>3.5</v>
      </c>
      <c r="Q265" s="263">
        <v>7.2</v>
      </c>
    </row>
    <row r="266" spans="1:17" ht="12.75">
      <c r="A266" s="251" t="str">
        <f>HYPERLINK("http://ct.wwsires.com/bull/7HO12105","REFLECTOR")</f>
        <v>REFLECTOR</v>
      </c>
      <c r="B266" t="s">
        <v>493</v>
      </c>
      <c r="C266" t="s">
        <v>494</v>
      </c>
      <c r="D266">
        <v>2643</v>
      </c>
      <c r="E266">
        <v>1847</v>
      </c>
      <c r="F266">
        <v>44</v>
      </c>
      <c r="G266" s="261">
        <v>-0.08</v>
      </c>
      <c r="H266">
        <v>75</v>
      </c>
      <c r="I266" s="261">
        <v>0.07</v>
      </c>
      <c r="J266" s="261">
        <v>1.76</v>
      </c>
      <c r="K266" s="261">
        <v>1.62</v>
      </c>
      <c r="L266" s="263">
        <v>7.1</v>
      </c>
      <c r="M266" s="252">
        <v>151</v>
      </c>
      <c r="N266" s="261">
        <v>2.79</v>
      </c>
      <c r="O266" s="263">
        <v>3.1</v>
      </c>
      <c r="P266" s="263">
        <v>3.7</v>
      </c>
      <c r="Q266" s="263">
        <v>7.9</v>
      </c>
    </row>
    <row r="267" spans="1:17" ht="12.75">
      <c r="A267" s="251" t="str">
        <f>HYPERLINK("http://ct.wwsires.com/bull/7HO11546","EMULATE")</f>
        <v>EMULATE</v>
      </c>
      <c r="B267" t="s">
        <v>495</v>
      </c>
      <c r="C267" t="s">
        <v>496</v>
      </c>
      <c r="D267">
        <v>2428</v>
      </c>
      <c r="E267">
        <v>1510</v>
      </c>
      <c r="F267">
        <v>70</v>
      </c>
      <c r="G267" s="261">
        <v>0.05</v>
      </c>
      <c r="H267">
        <v>45</v>
      </c>
      <c r="I267" s="261">
        <v>0</v>
      </c>
      <c r="J267" s="261">
        <v>1.18</v>
      </c>
      <c r="K267" s="261">
        <v>0.84</v>
      </c>
      <c r="L267" s="263">
        <v>5.3</v>
      </c>
      <c r="M267" s="252">
        <v>151</v>
      </c>
      <c r="N267" s="261">
        <v>2.88</v>
      </c>
      <c r="O267" s="263">
        <v>2.1</v>
      </c>
      <c r="P267" s="263">
        <v>1.9</v>
      </c>
      <c r="Q267" s="263">
        <v>6.9</v>
      </c>
    </row>
    <row r="268" spans="1:17" ht="12.75">
      <c r="A268" s="251" t="str">
        <f>HYPERLINK("http://ct.wwsires.com/bull/550HO13857","BIGGIE")</f>
        <v>BIGGIE</v>
      </c>
      <c r="B268" t="s">
        <v>497</v>
      </c>
      <c r="C268" t="s">
        <v>328</v>
      </c>
      <c r="D268">
        <v>2839</v>
      </c>
      <c r="E268">
        <v>1101</v>
      </c>
      <c r="F268">
        <v>70</v>
      </c>
      <c r="G268" s="261">
        <v>0.11</v>
      </c>
      <c r="H268">
        <v>53</v>
      </c>
      <c r="I268" s="261">
        <v>0.07</v>
      </c>
      <c r="J268" s="261">
        <v>2.6</v>
      </c>
      <c r="K268" s="261">
        <v>2.77</v>
      </c>
      <c r="L268" s="263">
        <v>10.8</v>
      </c>
      <c r="M268" s="252">
        <v>151</v>
      </c>
      <c r="N268" s="261">
        <v>2.62</v>
      </c>
      <c r="O268" s="263">
        <v>3.6</v>
      </c>
      <c r="P268" s="263">
        <v>3.2</v>
      </c>
      <c r="Q268" s="263">
        <v>9.2</v>
      </c>
    </row>
    <row r="269" spans="1:17" ht="12.75">
      <c r="A269" s="251" t="str">
        <f>HYPERLINK("http://ct.wwsires.com/bull/14HO07726","PRESTIGE")</f>
        <v>PRESTIGE</v>
      </c>
      <c r="B269" t="s">
        <v>498</v>
      </c>
      <c r="C269" t="s">
        <v>499</v>
      </c>
      <c r="D269">
        <v>2468</v>
      </c>
      <c r="E269">
        <v>1276</v>
      </c>
      <c r="F269">
        <v>69</v>
      </c>
      <c r="G269" s="261">
        <v>0.07</v>
      </c>
      <c r="H269">
        <v>48</v>
      </c>
      <c r="I269" s="261">
        <v>0.03</v>
      </c>
      <c r="J269" s="261">
        <v>0.95</v>
      </c>
      <c r="K269" s="261">
        <v>1.62</v>
      </c>
      <c r="L269" s="263">
        <v>6.2</v>
      </c>
      <c r="M269" s="252">
        <v>151</v>
      </c>
      <c r="N269" s="261">
        <v>2.85</v>
      </c>
      <c r="O269" s="263">
        <v>2</v>
      </c>
      <c r="P269" s="263">
        <v>1.8</v>
      </c>
      <c r="Q269" s="263">
        <v>6.3</v>
      </c>
    </row>
    <row r="270" spans="1:17" ht="12.75">
      <c r="A270" s="251" t="str">
        <f>HYPERLINK("http://ct.wwsires.com/bull/14HO07736","DEIFY")</f>
        <v>DEIFY</v>
      </c>
      <c r="B270" t="s">
        <v>500</v>
      </c>
      <c r="C270" t="s">
        <v>501</v>
      </c>
      <c r="D270">
        <v>2585</v>
      </c>
      <c r="E270">
        <v>1643</v>
      </c>
      <c r="F270">
        <v>52</v>
      </c>
      <c r="G270" s="261">
        <v>-0.03</v>
      </c>
      <c r="H270">
        <v>58</v>
      </c>
      <c r="I270" s="261">
        <v>0.03</v>
      </c>
      <c r="J270" s="261">
        <v>0.76</v>
      </c>
      <c r="K270" s="261">
        <v>1.23</v>
      </c>
      <c r="L270" s="263">
        <v>7.6</v>
      </c>
      <c r="M270" s="252">
        <v>150</v>
      </c>
      <c r="N270" s="261">
        <v>2.84</v>
      </c>
      <c r="O270" s="263">
        <v>4.4</v>
      </c>
      <c r="P270" s="263">
        <v>4.6</v>
      </c>
      <c r="Q270" s="263">
        <v>7.1</v>
      </c>
    </row>
    <row r="271" spans="1:17" ht="12.75">
      <c r="A271" s="251" t="str">
        <f>HYPERLINK("http://ct.wwsires.com/bull/7HO12967","LAMBER")</f>
        <v>LAMBER</v>
      </c>
      <c r="B271" t="s">
        <v>502</v>
      </c>
      <c r="C271" t="s">
        <v>503</v>
      </c>
      <c r="D271">
        <v>2640</v>
      </c>
      <c r="E271">
        <v>992</v>
      </c>
      <c r="F271">
        <v>55</v>
      </c>
      <c r="G271" s="261">
        <v>0.07</v>
      </c>
      <c r="H271">
        <v>57</v>
      </c>
      <c r="I271" s="261">
        <v>0.09</v>
      </c>
      <c r="J271" s="261">
        <v>1.85</v>
      </c>
      <c r="K271" s="261">
        <v>2.05</v>
      </c>
      <c r="L271" s="263">
        <v>6.9</v>
      </c>
      <c r="M271" s="252">
        <v>150</v>
      </c>
      <c r="N271" s="261">
        <v>2.76</v>
      </c>
      <c r="O271" s="263">
        <v>3.2</v>
      </c>
      <c r="P271" s="263">
        <v>3.1</v>
      </c>
      <c r="Q271" s="263">
        <v>7.4</v>
      </c>
    </row>
    <row r="272" spans="1:17" ht="12.75">
      <c r="A272" s="251" t="str">
        <f>HYPERLINK("http://ct.wwsires.com/bull/7HO12724","WIGGINS")</f>
        <v>WIGGINS</v>
      </c>
      <c r="B272" t="s">
        <v>504</v>
      </c>
      <c r="C272" t="s">
        <v>505</v>
      </c>
      <c r="D272">
        <v>2603</v>
      </c>
      <c r="E272">
        <v>1805</v>
      </c>
      <c r="F272">
        <v>50</v>
      </c>
      <c r="G272" s="261">
        <v>-0.06</v>
      </c>
      <c r="H272">
        <v>68</v>
      </c>
      <c r="I272" s="261">
        <v>0.05</v>
      </c>
      <c r="J272" s="261">
        <v>2.1</v>
      </c>
      <c r="K272" s="261">
        <v>1.63</v>
      </c>
      <c r="L272" s="263">
        <v>7.1</v>
      </c>
      <c r="M272" s="252">
        <v>150</v>
      </c>
      <c r="N272" s="261">
        <v>2.76</v>
      </c>
      <c r="O272" s="263">
        <v>2.6</v>
      </c>
      <c r="P272" s="263">
        <v>2.4</v>
      </c>
      <c r="Q272" s="263">
        <v>7.9</v>
      </c>
    </row>
    <row r="273" spans="1:17" ht="12.75">
      <c r="A273" s="251" t="str">
        <f>HYPERLINK("http://ct.wwsires.com/bull/14HO07793","MUDCAT")</f>
        <v>MUDCAT</v>
      </c>
      <c r="B273" t="s">
        <v>506</v>
      </c>
      <c r="C273" t="s">
        <v>507</v>
      </c>
      <c r="D273">
        <v>2552</v>
      </c>
      <c r="E273">
        <v>1328</v>
      </c>
      <c r="F273">
        <v>76</v>
      </c>
      <c r="G273" s="261">
        <v>0.09</v>
      </c>
      <c r="H273">
        <v>42</v>
      </c>
      <c r="I273" s="261">
        <v>0</v>
      </c>
      <c r="J273" s="261">
        <v>2.11</v>
      </c>
      <c r="K273" s="261">
        <v>2.61</v>
      </c>
      <c r="L273" s="263">
        <v>6</v>
      </c>
      <c r="M273" s="252">
        <v>149</v>
      </c>
      <c r="N273" s="261">
        <v>2.77</v>
      </c>
      <c r="O273" s="263">
        <v>0.5</v>
      </c>
      <c r="P273" s="263">
        <v>0.3</v>
      </c>
      <c r="Q273" s="263">
        <v>7.6</v>
      </c>
    </row>
    <row r="274" spans="1:17" ht="12.75">
      <c r="A274" s="251" t="str">
        <f>HYPERLINK("http://ct.wwsires.com/bull/7HO12960","HAN SOLO")</f>
        <v>HAN SOLO</v>
      </c>
      <c r="B274" t="s">
        <v>508</v>
      </c>
      <c r="C274" t="s">
        <v>509</v>
      </c>
      <c r="D274">
        <v>2654</v>
      </c>
      <c r="E274">
        <v>1246</v>
      </c>
      <c r="F274">
        <v>59</v>
      </c>
      <c r="G274" s="261">
        <v>0.05</v>
      </c>
      <c r="H274">
        <v>47</v>
      </c>
      <c r="I274" s="261">
        <v>0.04</v>
      </c>
      <c r="J274" s="261">
        <v>1.72</v>
      </c>
      <c r="K274" s="261">
        <v>2.22</v>
      </c>
      <c r="L274" s="263">
        <v>8.3</v>
      </c>
      <c r="M274" s="252">
        <v>149</v>
      </c>
      <c r="N274" s="261">
        <v>2.88</v>
      </c>
      <c r="O274" s="263">
        <v>5.3</v>
      </c>
      <c r="P274" s="263">
        <v>4.9</v>
      </c>
      <c r="Q274" s="263">
        <v>6.6</v>
      </c>
    </row>
    <row r="275" spans="1:17" ht="12.75">
      <c r="A275" s="251" t="str">
        <f>HYPERLINK("http://ct.wwsires.com/bull/7HO12212","HONEYBEE")</f>
        <v>HONEYBEE</v>
      </c>
      <c r="B275" t="s">
        <v>510</v>
      </c>
      <c r="C275" t="s">
        <v>478</v>
      </c>
      <c r="D275">
        <v>2517</v>
      </c>
      <c r="E275">
        <v>1419</v>
      </c>
      <c r="F275">
        <v>69</v>
      </c>
      <c r="G275" s="261">
        <v>0.06</v>
      </c>
      <c r="H275">
        <v>48</v>
      </c>
      <c r="I275" s="261">
        <v>0.02</v>
      </c>
      <c r="J275" s="261">
        <v>1.77</v>
      </c>
      <c r="K275" s="261">
        <v>1.27</v>
      </c>
      <c r="L275" s="263">
        <v>6.2</v>
      </c>
      <c r="M275" s="252">
        <v>148</v>
      </c>
      <c r="N275" s="261">
        <v>2.81</v>
      </c>
      <c r="O275" s="263">
        <v>2</v>
      </c>
      <c r="P275" s="263">
        <v>1.7</v>
      </c>
      <c r="Q275" s="263">
        <v>5.5</v>
      </c>
    </row>
    <row r="276" spans="1:17" ht="12.75">
      <c r="A276" s="251" t="str">
        <f>HYPERLINK("http://ct.wwsires.com/bull/14HO07722","RESOLUTE")</f>
        <v>RESOLUTE</v>
      </c>
      <c r="B276" t="s">
        <v>511</v>
      </c>
      <c r="C276" t="s">
        <v>512</v>
      </c>
      <c r="D276">
        <v>2378</v>
      </c>
      <c r="E276">
        <v>1457</v>
      </c>
      <c r="F276">
        <v>56</v>
      </c>
      <c r="G276" s="261">
        <v>0</v>
      </c>
      <c r="H276">
        <v>52</v>
      </c>
      <c r="I276" s="261">
        <v>0.03</v>
      </c>
      <c r="J276" s="261">
        <v>1.01</v>
      </c>
      <c r="K276" s="261">
        <v>1.16</v>
      </c>
      <c r="L276" s="263">
        <v>6.3</v>
      </c>
      <c r="M276" s="252">
        <v>148</v>
      </c>
      <c r="N276" s="261">
        <v>3.04</v>
      </c>
      <c r="O276" s="263">
        <v>1.6</v>
      </c>
      <c r="P276" s="263">
        <v>1.6</v>
      </c>
      <c r="Q276" s="263">
        <v>8.3</v>
      </c>
    </row>
    <row r="277" spans="1:17" ht="12.75">
      <c r="A277" s="251" t="str">
        <f>HYPERLINK("http://ct.wwsires.com/bull/14HO07751","STONE")</f>
        <v>STONE</v>
      </c>
      <c r="B277" t="s">
        <v>513</v>
      </c>
      <c r="C277" t="s">
        <v>514</v>
      </c>
      <c r="D277">
        <v>2548</v>
      </c>
      <c r="E277">
        <v>1205</v>
      </c>
      <c r="F277">
        <v>73</v>
      </c>
      <c r="G277" s="261">
        <v>0.1</v>
      </c>
      <c r="H277">
        <v>41</v>
      </c>
      <c r="I277" s="261">
        <v>0.02</v>
      </c>
      <c r="J277" s="261">
        <v>2</v>
      </c>
      <c r="K277" s="261">
        <v>2.3</v>
      </c>
      <c r="L277" s="263">
        <v>5.4</v>
      </c>
      <c r="M277" s="252">
        <v>148</v>
      </c>
      <c r="N277" s="261">
        <v>2.91</v>
      </c>
      <c r="O277" s="263">
        <v>2.1</v>
      </c>
      <c r="P277" s="263">
        <v>2.4</v>
      </c>
      <c r="Q277" s="263">
        <v>8.7</v>
      </c>
    </row>
    <row r="278" spans="1:17" ht="12.75">
      <c r="A278" s="251" t="str">
        <f>HYPERLINK("http://ct.wwsires.com/bull/14HO07349","FAIRFAX")</f>
        <v>FAIRFAX</v>
      </c>
      <c r="B278" t="s">
        <v>515</v>
      </c>
      <c r="C278" t="s">
        <v>516</v>
      </c>
      <c r="D278">
        <v>2436</v>
      </c>
      <c r="E278">
        <v>881</v>
      </c>
      <c r="F278">
        <v>63</v>
      </c>
      <c r="G278" s="261">
        <v>0.11</v>
      </c>
      <c r="H278">
        <v>38</v>
      </c>
      <c r="I278" s="261">
        <v>0.04</v>
      </c>
      <c r="J278" s="261">
        <v>0.8</v>
      </c>
      <c r="K278" s="261">
        <v>1.63</v>
      </c>
      <c r="L278" s="263">
        <v>6.1</v>
      </c>
      <c r="M278" s="252">
        <v>147</v>
      </c>
      <c r="N278" s="261">
        <v>2.86</v>
      </c>
      <c r="O278" s="263">
        <v>2.4</v>
      </c>
      <c r="P278" s="263">
        <v>2.9</v>
      </c>
      <c r="Q278" s="263">
        <v>5.9</v>
      </c>
    </row>
    <row r="279" spans="1:17" ht="12.75">
      <c r="A279" s="251" t="str">
        <f>HYPERLINK("http://ct.wwsires.com/bull/14HO07231","HANGOVER")</f>
        <v>HANGOVER</v>
      </c>
      <c r="B279" t="s">
        <v>517</v>
      </c>
      <c r="C279" t="s">
        <v>518</v>
      </c>
      <c r="D279">
        <v>2379</v>
      </c>
      <c r="E279">
        <v>1155</v>
      </c>
      <c r="F279">
        <v>77</v>
      </c>
      <c r="G279" s="261">
        <v>0.12</v>
      </c>
      <c r="H279">
        <v>40</v>
      </c>
      <c r="I279" s="261">
        <v>0.01</v>
      </c>
      <c r="J279" s="261">
        <v>2.03</v>
      </c>
      <c r="K279" s="261">
        <v>1.9100000000000001</v>
      </c>
      <c r="L279" s="263">
        <v>1.9</v>
      </c>
      <c r="M279" s="252">
        <v>146</v>
      </c>
      <c r="N279" s="261">
        <v>2.75</v>
      </c>
      <c r="O279" s="263">
        <v>-0.2</v>
      </c>
      <c r="P279" s="263">
        <v>-0.6</v>
      </c>
      <c r="Q279" s="263">
        <v>6.3</v>
      </c>
    </row>
    <row r="280" spans="1:17" ht="12.75">
      <c r="A280" s="251" t="str">
        <f>HYPERLINK("http://ct.wwsires.com/bull/7HO13576","KNIGHT")</f>
        <v>KNIGHT</v>
      </c>
      <c r="B280" t="s">
        <v>519</v>
      </c>
      <c r="C280" t="s">
        <v>520</v>
      </c>
      <c r="D280">
        <v>2691</v>
      </c>
      <c r="E280">
        <v>1773</v>
      </c>
      <c r="F280">
        <v>47</v>
      </c>
      <c r="G280" s="261">
        <v>-0.07</v>
      </c>
      <c r="H280">
        <v>71</v>
      </c>
      <c r="I280" s="261">
        <v>0.07</v>
      </c>
      <c r="J280" s="261">
        <v>2.08</v>
      </c>
      <c r="K280" s="261">
        <v>1.85</v>
      </c>
      <c r="L280" s="263">
        <v>7.8</v>
      </c>
      <c r="M280" s="252">
        <v>146</v>
      </c>
      <c r="N280" s="261">
        <v>2.81</v>
      </c>
      <c r="O280" s="263">
        <v>4</v>
      </c>
      <c r="P280" s="263">
        <v>4.1</v>
      </c>
      <c r="Q280" s="263">
        <v>7.5</v>
      </c>
    </row>
    <row r="281" spans="1:17" ht="12.75">
      <c r="A281" s="251" t="str">
        <f>HYPERLINK("http://ct.wwsires.com/bull/7HO11946","MIDNIGHT")</f>
        <v>MIDNIGHT</v>
      </c>
      <c r="B281" t="s">
        <v>521</v>
      </c>
      <c r="C281" t="s">
        <v>522</v>
      </c>
      <c r="D281">
        <v>2641</v>
      </c>
      <c r="E281">
        <v>1138</v>
      </c>
      <c r="F281">
        <v>56</v>
      </c>
      <c r="G281" s="261">
        <v>0.05</v>
      </c>
      <c r="H281">
        <v>49</v>
      </c>
      <c r="I281" s="261">
        <v>0.05</v>
      </c>
      <c r="J281" s="261">
        <v>0.66</v>
      </c>
      <c r="K281" s="261">
        <v>1.5</v>
      </c>
      <c r="L281" s="263">
        <v>8.9</v>
      </c>
      <c r="M281" s="252">
        <v>146</v>
      </c>
      <c r="N281" s="261">
        <v>2.73</v>
      </c>
      <c r="O281" s="263">
        <v>5.8</v>
      </c>
      <c r="P281" s="263">
        <v>5.6</v>
      </c>
      <c r="Q281" s="263">
        <v>6.8</v>
      </c>
    </row>
    <row r="282" spans="1:17" ht="12.75">
      <c r="A282" s="251" t="str">
        <f>HYPERLINK("http://ct.wwsires.com/bull/250HO13531","TOTEM")</f>
        <v>TOTEM</v>
      </c>
      <c r="B282" t="s">
        <v>523</v>
      </c>
      <c r="C282" t="s">
        <v>490</v>
      </c>
      <c r="D282">
        <v>2592</v>
      </c>
      <c r="E282">
        <v>952</v>
      </c>
      <c r="F282">
        <v>69</v>
      </c>
      <c r="G282" s="261">
        <v>0.12</v>
      </c>
      <c r="H282">
        <v>40</v>
      </c>
      <c r="I282" s="261">
        <v>0.04</v>
      </c>
      <c r="J282" s="261">
        <v>2.29</v>
      </c>
      <c r="K282" s="261">
        <v>2.02</v>
      </c>
      <c r="L282" s="263">
        <v>7.4</v>
      </c>
      <c r="M282" s="252">
        <v>146</v>
      </c>
      <c r="N282" s="261">
        <v>2.55</v>
      </c>
      <c r="O282" s="263">
        <v>2.2</v>
      </c>
      <c r="P282" s="263">
        <v>2</v>
      </c>
      <c r="Q282" s="263">
        <v>8</v>
      </c>
    </row>
    <row r="283" spans="1:17" ht="12.75">
      <c r="A283" s="251" t="str">
        <f>HYPERLINK("http://ct.wwsires.com/bull/14HO07857","ACCELREIGN")</f>
        <v>ACCELREIGN</v>
      </c>
      <c r="B283" t="s">
        <v>524</v>
      </c>
      <c r="C283" t="s">
        <v>525</v>
      </c>
      <c r="D283">
        <v>2593</v>
      </c>
      <c r="E283">
        <v>1469</v>
      </c>
      <c r="F283">
        <v>64</v>
      </c>
      <c r="G283" s="261">
        <v>0.03</v>
      </c>
      <c r="H283">
        <v>49</v>
      </c>
      <c r="I283" s="261">
        <v>0.02</v>
      </c>
      <c r="J283" s="261">
        <v>3.01</v>
      </c>
      <c r="K283" s="261">
        <v>2.65</v>
      </c>
      <c r="L283" s="263">
        <v>4.3</v>
      </c>
      <c r="M283" s="252">
        <v>145</v>
      </c>
      <c r="N283" s="261">
        <v>2.88</v>
      </c>
      <c r="O283" s="263">
        <v>1.6</v>
      </c>
      <c r="P283" s="263">
        <v>1.3</v>
      </c>
      <c r="Q283" s="263">
        <v>5.9</v>
      </c>
    </row>
    <row r="284" spans="1:17" ht="12.75">
      <c r="A284" s="251" t="str">
        <f>HYPERLINK("http://ct.wwsires.com/bull/14HO14065","CABO")</f>
        <v>CABO</v>
      </c>
      <c r="B284" t="s">
        <v>526</v>
      </c>
      <c r="C284" t="s">
        <v>328</v>
      </c>
      <c r="D284">
        <v>2717</v>
      </c>
      <c r="E284">
        <v>1194</v>
      </c>
      <c r="F284">
        <v>66</v>
      </c>
      <c r="G284" s="261">
        <v>0.08</v>
      </c>
      <c r="H284">
        <v>52</v>
      </c>
      <c r="I284" s="261">
        <v>0.06</v>
      </c>
      <c r="J284" s="261">
        <v>1.75</v>
      </c>
      <c r="K284" s="261">
        <v>2.13</v>
      </c>
      <c r="L284" s="263">
        <v>10.2</v>
      </c>
      <c r="M284" s="252">
        <v>145</v>
      </c>
      <c r="N284" s="261">
        <v>2.6</v>
      </c>
      <c r="O284" s="263">
        <v>3.1</v>
      </c>
      <c r="P284" s="263">
        <v>2.8</v>
      </c>
      <c r="Q284" s="263">
        <v>8.1</v>
      </c>
    </row>
    <row r="285" spans="1:17" ht="12.75">
      <c r="A285" s="251" t="str">
        <f>HYPERLINK("http://ct.wwsires.com/bull/7HO12671","BANDARES")</f>
        <v>BANDARES</v>
      </c>
      <c r="B285" t="s">
        <v>527</v>
      </c>
      <c r="C285" t="s">
        <v>528</v>
      </c>
      <c r="D285">
        <v>2757</v>
      </c>
      <c r="E285">
        <v>926</v>
      </c>
      <c r="F285">
        <v>66</v>
      </c>
      <c r="G285" s="261">
        <v>0.12</v>
      </c>
      <c r="H285">
        <v>46</v>
      </c>
      <c r="I285" s="261">
        <v>0.07</v>
      </c>
      <c r="J285" s="261">
        <v>2.31</v>
      </c>
      <c r="K285" s="261">
        <v>2.96</v>
      </c>
      <c r="L285" s="263">
        <v>9.6</v>
      </c>
      <c r="M285" s="252">
        <v>145</v>
      </c>
      <c r="N285" s="261">
        <v>2.67</v>
      </c>
      <c r="O285" s="263">
        <v>3.4</v>
      </c>
      <c r="P285" s="263">
        <v>3</v>
      </c>
      <c r="Q285" s="263">
        <v>9.2</v>
      </c>
    </row>
    <row r="286" spans="1:17" ht="12.75">
      <c r="A286" s="251" t="str">
        <f>HYPERLINK("http://ct.wwsires.com/bull/14HO07387","ZYKE")</f>
        <v>ZYKE</v>
      </c>
      <c r="B286" t="s">
        <v>529</v>
      </c>
      <c r="C286" t="s">
        <v>530</v>
      </c>
      <c r="D286">
        <v>2506</v>
      </c>
      <c r="E286">
        <v>1489</v>
      </c>
      <c r="F286">
        <v>58</v>
      </c>
      <c r="G286" s="261">
        <v>0.01</v>
      </c>
      <c r="H286">
        <v>49</v>
      </c>
      <c r="I286" s="261">
        <v>0.01</v>
      </c>
      <c r="J286" s="261">
        <v>1.45</v>
      </c>
      <c r="K286" s="261">
        <v>1.74</v>
      </c>
      <c r="L286" s="263">
        <v>6</v>
      </c>
      <c r="M286" s="252">
        <v>144</v>
      </c>
      <c r="N286" s="261">
        <v>2.81</v>
      </c>
      <c r="O286" s="263">
        <v>2.2</v>
      </c>
      <c r="P286" s="263">
        <v>1.5</v>
      </c>
      <c r="Q286" s="263">
        <v>7.6</v>
      </c>
    </row>
    <row r="287" spans="1:17" ht="12.75">
      <c r="A287" s="251" t="str">
        <f>HYPERLINK("http://ct.wwsires.com/bull/7HO12814","TRUE PP")</f>
        <v>TRUE PP</v>
      </c>
      <c r="B287" t="s">
        <v>531</v>
      </c>
      <c r="C287" t="s">
        <v>532</v>
      </c>
      <c r="D287">
        <v>2479</v>
      </c>
      <c r="E287">
        <v>986</v>
      </c>
      <c r="F287">
        <v>45</v>
      </c>
      <c r="G287" s="261">
        <v>0.03</v>
      </c>
      <c r="H287">
        <v>49</v>
      </c>
      <c r="I287" s="261">
        <v>0.07</v>
      </c>
      <c r="J287" s="261">
        <v>1.09</v>
      </c>
      <c r="K287" s="261">
        <v>1.43</v>
      </c>
      <c r="L287" s="263">
        <v>6</v>
      </c>
      <c r="M287" s="252">
        <v>144</v>
      </c>
      <c r="N287" s="261">
        <v>2.77</v>
      </c>
      <c r="O287" s="263">
        <v>3.4</v>
      </c>
      <c r="P287" s="263">
        <v>3.1</v>
      </c>
      <c r="Q287" s="263">
        <v>6.2</v>
      </c>
    </row>
    <row r="288" spans="1:17" ht="12.75">
      <c r="A288" s="251" t="str">
        <f>HYPERLINK("http://ct.wwsires.com/bull/14HO07816","KING ABEL")</f>
        <v>KING ABEL</v>
      </c>
      <c r="B288" t="s">
        <v>533</v>
      </c>
      <c r="C288" t="s">
        <v>534</v>
      </c>
      <c r="D288">
        <v>2621</v>
      </c>
      <c r="E288">
        <v>1607</v>
      </c>
      <c r="F288">
        <v>59</v>
      </c>
      <c r="G288" s="261">
        <v>-0.01</v>
      </c>
      <c r="H288">
        <v>62</v>
      </c>
      <c r="I288" s="261">
        <v>0.05</v>
      </c>
      <c r="J288" s="261">
        <v>2.65</v>
      </c>
      <c r="K288" s="261">
        <v>2.13</v>
      </c>
      <c r="L288" s="263">
        <v>5.3</v>
      </c>
      <c r="M288" s="252">
        <v>144</v>
      </c>
      <c r="N288" s="261">
        <v>2.76</v>
      </c>
      <c r="O288" s="263">
        <v>1.9</v>
      </c>
      <c r="P288" s="263">
        <v>1.5</v>
      </c>
      <c r="Q288" s="263">
        <v>6.7</v>
      </c>
    </row>
    <row r="289" spans="1:17" ht="12.75">
      <c r="A289" s="251" t="str">
        <f>HYPERLINK("http://ct.wwsires.com/bull/509HO12638","BENNING")</f>
        <v>BENNING</v>
      </c>
      <c r="B289" t="s">
        <v>535</v>
      </c>
      <c r="C289" t="s">
        <v>536</v>
      </c>
      <c r="D289">
        <v>2640</v>
      </c>
      <c r="E289">
        <v>1482</v>
      </c>
      <c r="F289">
        <v>49</v>
      </c>
      <c r="G289" s="261">
        <v>-0.02</v>
      </c>
      <c r="H289">
        <v>53</v>
      </c>
      <c r="I289" s="261">
        <v>0.03</v>
      </c>
      <c r="J289" s="261">
        <v>2.13</v>
      </c>
      <c r="K289" s="261">
        <v>2.66</v>
      </c>
      <c r="L289" s="263">
        <v>8.6</v>
      </c>
      <c r="M289" s="252">
        <v>143</v>
      </c>
      <c r="N289" s="261">
        <v>2.76</v>
      </c>
      <c r="O289" s="263">
        <v>2.4</v>
      </c>
      <c r="P289" s="263">
        <v>2.3</v>
      </c>
      <c r="Q289" s="263">
        <v>7.7</v>
      </c>
    </row>
    <row r="290" spans="1:17" ht="12.75">
      <c r="A290" s="251" t="str">
        <f>HYPERLINK("http://ct.wwsires.com/bull/250HO13684","LYNX")</f>
        <v>LYNX</v>
      </c>
      <c r="B290" t="s">
        <v>537</v>
      </c>
      <c r="C290" t="s">
        <v>538</v>
      </c>
      <c r="D290">
        <v>2651</v>
      </c>
      <c r="E290">
        <v>386</v>
      </c>
      <c r="F290">
        <v>91</v>
      </c>
      <c r="G290" s="261">
        <v>0.28</v>
      </c>
      <c r="H290">
        <v>31</v>
      </c>
      <c r="I290" s="261">
        <v>0.07</v>
      </c>
      <c r="J290" s="261">
        <v>3.11</v>
      </c>
      <c r="K290" s="261">
        <v>2.51</v>
      </c>
      <c r="L290" s="263">
        <v>5.3</v>
      </c>
      <c r="M290" s="252">
        <v>143</v>
      </c>
      <c r="N290" s="261">
        <v>2.76</v>
      </c>
      <c r="O290" s="263">
        <v>2.5</v>
      </c>
      <c r="P290" s="263">
        <v>2.3</v>
      </c>
      <c r="Q290" s="263">
        <v>6.9</v>
      </c>
    </row>
    <row r="291" spans="1:17" ht="12.75">
      <c r="A291" s="251" t="str">
        <f>HYPERLINK("http://ct.wwsires.com/bull/7HO11395","MYSTIC")</f>
        <v>MYSTIC</v>
      </c>
      <c r="B291" t="s">
        <v>539</v>
      </c>
      <c r="C291" t="s">
        <v>540</v>
      </c>
      <c r="D291">
        <v>2558</v>
      </c>
      <c r="E291">
        <v>1093</v>
      </c>
      <c r="F291">
        <v>62</v>
      </c>
      <c r="G291" s="261">
        <v>0.08</v>
      </c>
      <c r="H291">
        <v>43</v>
      </c>
      <c r="I291" s="261">
        <v>0.03</v>
      </c>
      <c r="J291" s="261">
        <v>0.56</v>
      </c>
      <c r="K291" s="261">
        <v>0.29</v>
      </c>
      <c r="L291" s="263">
        <v>8.6</v>
      </c>
      <c r="M291" s="252">
        <v>143</v>
      </c>
      <c r="N291" s="261">
        <v>2.7199999999999998</v>
      </c>
      <c r="O291" s="263">
        <v>5.9</v>
      </c>
      <c r="P291" s="263">
        <v>6</v>
      </c>
      <c r="Q291" s="263">
        <v>8</v>
      </c>
    </row>
    <row r="292" spans="1:17" ht="12.75">
      <c r="A292" s="251" t="str">
        <f>HYPERLINK("http://ct.wwsires.com/bull/7HO13281","MILLER-P")</f>
        <v>MILLER-P</v>
      </c>
      <c r="B292" t="s">
        <v>541</v>
      </c>
      <c r="C292" t="s">
        <v>542</v>
      </c>
      <c r="D292">
        <v>2460</v>
      </c>
      <c r="E292">
        <v>1484</v>
      </c>
      <c r="F292">
        <v>58</v>
      </c>
      <c r="G292" s="261">
        <v>0.01</v>
      </c>
      <c r="H292">
        <v>54</v>
      </c>
      <c r="I292" s="261">
        <v>0.03</v>
      </c>
      <c r="J292" s="261">
        <v>1.34</v>
      </c>
      <c r="K292" s="261">
        <v>0.96</v>
      </c>
      <c r="L292" s="263">
        <v>6.1</v>
      </c>
      <c r="M292" s="252">
        <v>143</v>
      </c>
      <c r="N292" s="261">
        <v>2.9</v>
      </c>
      <c r="O292" s="263">
        <v>2.5</v>
      </c>
      <c r="P292" s="263">
        <v>1.9</v>
      </c>
      <c r="Q292" s="263">
        <v>8.3</v>
      </c>
    </row>
    <row r="293" spans="1:17" ht="12.75">
      <c r="A293" s="251" t="str">
        <f>HYPERLINK("http://ct.wwsires.com/bull/14HO07798","HAMMERTIME")</f>
        <v>HAMMERTIME</v>
      </c>
      <c r="B293" t="s">
        <v>543</v>
      </c>
      <c r="C293" t="s">
        <v>544</v>
      </c>
      <c r="D293">
        <v>2532</v>
      </c>
      <c r="E293">
        <v>1221</v>
      </c>
      <c r="F293">
        <v>63</v>
      </c>
      <c r="G293" s="261">
        <v>0.06</v>
      </c>
      <c r="H293">
        <v>46</v>
      </c>
      <c r="I293" s="261">
        <v>0.04</v>
      </c>
      <c r="J293" s="261">
        <v>2.59</v>
      </c>
      <c r="K293" s="261">
        <v>2.38</v>
      </c>
      <c r="L293" s="263">
        <v>6.7</v>
      </c>
      <c r="M293" s="252">
        <v>143</v>
      </c>
      <c r="N293" s="261">
        <v>2.9699999999999998</v>
      </c>
      <c r="O293" s="263">
        <v>1.9</v>
      </c>
      <c r="P293" s="263">
        <v>1.4</v>
      </c>
      <c r="Q293" s="263">
        <v>6.8</v>
      </c>
    </row>
    <row r="294" spans="1:17" ht="12.75">
      <c r="A294" s="251" t="str">
        <f>HYPERLINK("http://ct.wwsires.com/bull/7HO12988","MONTY")</f>
        <v>MONTY</v>
      </c>
      <c r="B294" t="s">
        <v>545</v>
      </c>
      <c r="C294" t="s">
        <v>546</v>
      </c>
      <c r="D294">
        <v>2749</v>
      </c>
      <c r="E294">
        <v>1993</v>
      </c>
      <c r="F294">
        <v>55</v>
      </c>
      <c r="G294" s="261">
        <v>-0.07</v>
      </c>
      <c r="H294">
        <v>54</v>
      </c>
      <c r="I294" s="261">
        <v>-0.02</v>
      </c>
      <c r="J294" s="261">
        <v>2.4</v>
      </c>
      <c r="K294" s="261">
        <v>2.4699999999999998</v>
      </c>
      <c r="L294" s="263">
        <v>9</v>
      </c>
      <c r="M294" s="252">
        <v>143</v>
      </c>
      <c r="N294" s="261">
        <v>2.7800000000000002</v>
      </c>
      <c r="O294" s="263">
        <v>4.3</v>
      </c>
      <c r="P294" s="263">
        <v>4.6</v>
      </c>
      <c r="Q294" s="263">
        <v>6.2</v>
      </c>
    </row>
    <row r="295" spans="1:17" ht="12.75">
      <c r="A295" s="251" t="str">
        <f>HYPERLINK("http://ct.wwsires.com/bull/14HO07763","ACCELCLASS")</f>
        <v>ACCELCLASS</v>
      </c>
      <c r="B295" t="s">
        <v>547</v>
      </c>
      <c r="C295" t="s">
        <v>548</v>
      </c>
      <c r="D295">
        <v>2448</v>
      </c>
      <c r="E295">
        <v>490</v>
      </c>
      <c r="F295">
        <v>69</v>
      </c>
      <c r="G295" s="261">
        <v>0.19</v>
      </c>
      <c r="H295">
        <v>32</v>
      </c>
      <c r="I295" s="261">
        <v>0.06</v>
      </c>
      <c r="J295" s="261">
        <v>1.6099999999999999</v>
      </c>
      <c r="K295" s="261">
        <v>1.99</v>
      </c>
      <c r="L295" s="263">
        <v>6.4</v>
      </c>
      <c r="M295" s="252">
        <v>142</v>
      </c>
      <c r="N295" s="261">
        <v>2.75</v>
      </c>
      <c r="O295" s="263">
        <v>1.7</v>
      </c>
      <c r="P295" s="263">
        <v>1.5</v>
      </c>
      <c r="Q295" s="263">
        <v>6.5</v>
      </c>
    </row>
    <row r="296" spans="1:17" ht="12.75">
      <c r="A296" s="251" t="str">
        <f>HYPERLINK("http://ct.wwsires.com/bull/7HO13276","BOWEN")</f>
        <v>BOWEN</v>
      </c>
      <c r="B296" t="s">
        <v>549</v>
      </c>
      <c r="C296" t="s">
        <v>550</v>
      </c>
      <c r="D296">
        <v>2616</v>
      </c>
      <c r="E296">
        <v>1461</v>
      </c>
      <c r="F296">
        <v>57</v>
      </c>
      <c r="G296" s="261">
        <v>0.01</v>
      </c>
      <c r="H296">
        <v>48</v>
      </c>
      <c r="I296" s="261">
        <v>0.01</v>
      </c>
      <c r="J296" s="261">
        <v>2.57</v>
      </c>
      <c r="K296" s="261">
        <v>2.86</v>
      </c>
      <c r="L296" s="263">
        <v>6.8</v>
      </c>
      <c r="M296" s="252">
        <v>142</v>
      </c>
      <c r="N296" s="261">
        <v>2.92</v>
      </c>
      <c r="O296" s="263">
        <v>2.2</v>
      </c>
      <c r="P296" s="263">
        <v>2.1</v>
      </c>
      <c r="Q296" s="263">
        <v>8.7</v>
      </c>
    </row>
    <row r="297" spans="1:17" ht="12.75">
      <c r="A297" s="251" t="str">
        <f>HYPERLINK("http://ct.wwsires.com/bull/7HO13264","ALLTIME")</f>
        <v>ALLTIME</v>
      </c>
      <c r="B297" t="s">
        <v>551</v>
      </c>
      <c r="C297" t="s">
        <v>552</v>
      </c>
      <c r="D297">
        <v>2644</v>
      </c>
      <c r="E297">
        <v>718</v>
      </c>
      <c r="F297">
        <v>61</v>
      </c>
      <c r="G297" s="261">
        <v>0.13</v>
      </c>
      <c r="H297">
        <v>47</v>
      </c>
      <c r="I297" s="261">
        <v>0.09</v>
      </c>
      <c r="J297" s="261">
        <v>1.7</v>
      </c>
      <c r="K297" s="261">
        <v>1.6400000000000001</v>
      </c>
      <c r="L297" s="263">
        <v>7.8</v>
      </c>
      <c r="M297" s="252">
        <v>141</v>
      </c>
      <c r="N297" s="261">
        <v>2.64</v>
      </c>
      <c r="O297" s="263">
        <v>4</v>
      </c>
      <c r="P297" s="263">
        <v>3.5</v>
      </c>
      <c r="Q297" s="263">
        <v>6.6</v>
      </c>
    </row>
    <row r="298" spans="1:17" ht="12.75">
      <c r="A298" s="251" t="str">
        <f>HYPERLINK("http://ct.wwsires.com/bull/7HO12777","ROZWELL")</f>
        <v>ROZWELL</v>
      </c>
      <c r="B298" t="s">
        <v>553</v>
      </c>
      <c r="C298" t="s">
        <v>554</v>
      </c>
      <c r="D298">
        <v>2583</v>
      </c>
      <c r="E298">
        <v>1857</v>
      </c>
      <c r="F298">
        <v>64</v>
      </c>
      <c r="G298" s="261">
        <v>-0.02</v>
      </c>
      <c r="H298">
        <v>58</v>
      </c>
      <c r="I298" s="261">
        <v>0.01</v>
      </c>
      <c r="J298" s="261">
        <v>2.48</v>
      </c>
      <c r="K298" s="261">
        <v>1.8900000000000001</v>
      </c>
      <c r="L298" s="263">
        <v>6</v>
      </c>
      <c r="M298" s="252">
        <v>141</v>
      </c>
      <c r="N298" s="261">
        <v>2.7</v>
      </c>
      <c r="O298" s="263">
        <v>1.8</v>
      </c>
      <c r="P298" s="263">
        <v>1.6</v>
      </c>
      <c r="Q298" s="263">
        <v>8.4</v>
      </c>
    </row>
    <row r="299" spans="1:17" ht="12.75">
      <c r="A299" s="251" t="str">
        <f>HYPERLINK("http://ct.wwsires.com/bull/14HO07829","ACCELMAGIC")</f>
        <v>ACCELMAGIC</v>
      </c>
      <c r="B299" t="s">
        <v>555</v>
      </c>
      <c r="C299" t="s">
        <v>556</v>
      </c>
      <c r="D299">
        <v>2505</v>
      </c>
      <c r="E299">
        <v>758</v>
      </c>
      <c r="F299">
        <v>54</v>
      </c>
      <c r="G299" s="261">
        <v>0.1</v>
      </c>
      <c r="H299">
        <v>37</v>
      </c>
      <c r="I299" s="261">
        <v>0.05</v>
      </c>
      <c r="J299" s="261">
        <v>1.8399999999999999</v>
      </c>
      <c r="K299" s="261">
        <v>2.52</v>
      </c>
      <c r="L299" s="263">
        <v>7.6</v>
      </c>
      <c r="M299" s="252">
        <v>141</v>
      </c>
      <c r="N299" s="261">
        <v>2.88</v>
      </c>
      <c r="O299" s="263">
        <v>1.8</v>
      </c>
      <c r="P299" s="263">
        <v>1</v>
      </c>
      <c r="Q299" s="263">
        <v>7.1</v>
      </c>
    </row>
    <row r="300" spans="1:17" ht="12.75">
      <c r="A300" s="251" t="str">
        <f>HYPERLINK("http://ct.wwsires.com/bull/7HO11644","MCGYVER")</f>
        <v>MCGYVER</v>
      </c>
      <c r="B300" t="s">
        <v>557</v>
      </c>
      <c r="C300" t="s">
        <v>558</v>
      </c>
      <c r="D300">
        <v>2320</v>
      </c>
      <c r="E300">
        <v>1622</v>
      </c>
      <c r="F300">
        <v>70</v>
      </c>
      <c r="G300" s="261">
        <v>0.03</v>
      </c>
      <c r="H300">
        <v>49</v>
      </c>
      <c r="I300" s="261">
        <v>0</v>
      </c>
      <c r="J300" s="261">
        <v>0.69</v>
      </c>
      <c r="K300" s="261">
        <v>1.04</v>
      </c>
      <c r="L300" s="263">
        <v>4.2</v>
      </c>
      <c r="M300" s="252">
        <v>141</v>
      </c>
      <c r="N300" s="261">
        <v>3</v>
      </c>
      <c r="O300" s="263">
        <v>1.3</v>
      </c>
      <c r="P300" s="263">
        <v>1.2</v>
      </c>
      <c r="Q300" s="263">
        <v>6.2</v>
      </c>
    </row>
    <row r="301" spans="1:17" ht="12.75">
      <c r="A301" s="251" t="str">
        <f>HYPERLINK("http://ct.wwsires.com/bull/7HO13111","IRONBACK")</f>
        <v>IRONBACK</v>
      </c>
      <c r="B301" t="s">
        <v>559</v>
      </c>
      <c r="C301" t="s">
        <v>560</v>
      </c>
      <c r="D301">
        <v>2466</v>
      </c>
      <c r="E301">
        <v>1216</v>
      </c>
      <c r="F301">
        <v>72</v>
      </c>
      <c r="G301" s="261">
        <v>0.1</v>
      </c>
      <c r="H301">
        <v>42</v>
      </c>
      <c r="I301" s="261">
        <v>0.02</v>
      </c>
      <c r="J301" s="261">
        <v>0.52</v>
      </c>
      <c r="K301" s="261">
        <v>1.12</v>
      </c>
      <c r="L301" s="263">
        <v>6.2</v>
      </c>
      <c r="M301" s="252">
        <v>141</v>
      </c>
      <c r="N301" s="261">
        <v>2.94</v>
      </c>
      <c r="O301" s="263">
        <v>4.2</v>
      </c>
      <c r="P301" s="263">
        <v>3.9</v>
      </c>
      <c r="Q301" s="263">
        <v>6.4</v>
      </c>
    </row>
    <row r="302" spans="1:17" ht="12.75">
      <c r="A302" s="251" t="str">
        <f>HYPERLINK("http://ct.wwsires.com/bull/7HO12970","D-ROCK")</f>
        <v>D-ROCK</v>
      </c>
      <c r="B302" t="s">
        <v>561</v>
      </c>
      <c r="C302" t="s">
        <v>562</v>
      </c>
      <c r="D302">
        <v>2615</v>
      </c>
      <c r="E302">
        <v>1136</v>
      </c>
      <c r="F302">
        <v>68</v>
      </c>
      <c r="G302" s="261">
        <v>0.09</v>
      </c>
      <c r="H302">
        <v>41</v>
      </c>
      <c r="I302" s="261">
        <v>0.03</v>
      </c>
      <c r="J302" s="261">
        <v>2.61</v>
      </c>
      <c r="K302" s="261">
        <v>2.76</v>
      </c>
      <c r="L302" s="263">
        <v>6.2</v>
      </c>
      <c r="M302" s="252">
        <v>141</v>
      </c>
      <c r="N302" s="261">
        <v>2.61</v>
      </c>
      <c r="O302" s="263">
        <v>1.6</v>
      </c>
      <c r="P302" s="263">
        <v>1.7</v>
      </c>
      <c r="Q302" s="263">
        <v>7.8</v>
      </c>
    </row>
    <row r="303" spans="1:17" ht="12.75">
      <c r="A303" s="251" t="str">
        <f>HYPERLINK("http://ct.wwsires.com/bull/14HO07730","EASY")</f>
        <v>EASY</v>
      </c>
      <c r="B303" t="s">
        <v>563</v>
      </c>
      <c r="C303" t="s">
        <v>564</v>
      </c>
      <c r="D303">
        <v>2467</v>
      </c>
      <c r="E303">
        <v>917</v>
      </c>
      <c r="F303">
        <v>57</v>
      </c>
      <c r="G303" s="261">
        <v>0.08</v>
      </c>
      <c r="H303">
        <v>37</v>
      </c>
      <c r="I303" s="261">
        <v>0.03</v>
      </c>
      <c r="J303" s="261">
        <v>0.53</v>
      </c>
      <c r="K303" s="261">
        <v>1.52</v>
      </c>
      <c r="L303" s="263">
        <v>7.8</v>
      </c>
      <c r="M303" s="252">
        <v>140</v>
      </c>
      <c r="N303" s="261">
        <v>2.92</v>
      </c>
      <c r="O303" s="263">
        <v>3.1</v>
      </c>
      <c r="P303" s="263">
        <v>2.7</v>
      </c>
      <c r="Q303" s="263">
        <v>4.8</v>
      </c>
    </row>
    <row r="304" spans="1:17" ht="12.75">
      <c r="A304" s="251" t="str">
        <f>HYPERLINK("http://ct.wwsires.com/bull/14HO07848","ACCELENHANCE")</f>
        <v>ACCELENHANCE</v>
      </c>
      <c r="B304" t="s">
        <v>565</v>
      </c>
      <c r="C304" t="s">
        <v>566</v>
      </c>
      <c r="D304">
        <v>2591</v>
      </c>
      <c r="E304">
        <v>772</v>
      </c>
      <c r="F304">
        <v>74</v>
      </c>
      <c r="G304" s="261">
        <v>0.17</v>
      </c>
      <c r="H304">
        <v>39</v>
      </c>
      <c r="I304" s="261">
        <v>0.06</v>
      </c>
      <c r="J304" s="261">
        <v>1.75</v>
      </c>
      <c r="K304" s="261">
        <v>1.53</v>
      </c>
      <c r="L304" s="263">
        <v>7.5</v>
      </c>
      <c r="M304" s="252">
        <v>140</v>
      </c>
      <c r="N304" s="261">
        <v>2.51</v>
      </c>
      <c r="O304" s="263">
        <v>2.6</v>
      </c>
      <c r="P304" s="263">
        <v>2.5</v>
      </c>
      <c r="Q304" s="263">
        <v>6.1</v>
      </c>
    </row>
    <row r="305" spans="1:17" ht="12.75">
      <c r="A305" s="251" t="str">
        <f>HYPERLINK("http://ct.wwsires.com/bull/14HO07785","RILEY-RED")</f>
        <v>RILEY-RED</v>
      </c>
      <c r="B305" t="s">
        <v>567</v>
      </c>
      <c r="C305" t="s">
        <v>568</v>
      </c>
      <c r="D305">
        <v>2349</v>
      </c>
      <c r="E305">
        <v>1065</v>
      </c>
      <c r="F305">
        <v>71</v>
      </c>
      <c r="G305" s="261">
        <v>0.12</v>
      </c>
      <c r="H305">
        <v>34</v>
      </c>
      <c r="I305" s="261">
        <v>0.01</v>
      </c>
      <c r="J305" s="261">
        <v>2.16</v>
      </c>
      <c r="K305" s="261">
        <v>2.22</v>
      </c>
      <c r="L305" s="263">
        <v>4.4</v>
      </c>
      <c r="M305" s="252">
        <v>140</v>
      </c>
      <c r="N305" s="261">
        <v>2.9</v>
      </c>
      <c r="O305" s="263">
        <v>-1.3</v>
      </c>
      <c r="P305" s="263">
        <v>-1.7</v>
      </c>
      <c r="Q305" s="263">
        <v>7.3</v>
      </c>
    </row>
    <row r="306" spans="1:17" ht="12.75">
      <c r="A306" s="251" t="str">
        <f>HYPERLINK("http://ct.wwsires.com/bull/714HO00037","FREDDO")</f>
        <v>FREDDO</v>
      </c>
      <c r="B306" t="s">
        <v>569</v>
      </c>
      <c r="C306" t="s">
        <v>570</v>
      </c>
      <c r="D306">
        <v>2342</v>
      </c>
      <c r="E306">
        <v>730</v>
      </c>
      <c r="F306">
        <v>73</v>
      </c>
      <c r="G306" s="261">
        <v>0.17</v>
      </c>
      <c r="H306">
        <v>35</v>
      </c>
      <c r="I306" s="261">
        <v>0.05</v>
      </c>
      <c r="J306" s="261">
        <v>1.5899999999999999</v>
      </c>
      <c r="K306" s="261">
        <v>1.41</v>
      </c>
      <c r="L306" s="263">
        <v>3.5</v>
      </c>
      <c r="M306" s="252">
        <v>140</v>
      </c>
      <c r="N306" s="261">
        <v>2.75</v>
      </c>
      <c r="O306" s="263">
        <v>-0.2</v>
      </c>
      <c r="P306" s="263">
        <v>-0.3</v>
      </c>
      <c r="Q306" s="263">
        <v>6.2</v>
      </c>
    </row>
    <row r="307" spans="1:17" ht="12.75">
      <c r="A307" s="251" t="str">
        <f>HYPERLINK("http://ct.wwsires.com/bull/14HO06905","VALENTINE-RED")</f>
        <v>VALENTINE-RED</v>
      </c>
      <c r="B307" t="s">
        <v>571</v>
      </c>
      <c r="C307" t="s">
        <v>572</v>
      </c>
      <c r="D307">
        <v>2197</v>
      </c>
      <c r="E307">
        <v>1337</v>
      </c>
      <c r="F307">
        <v>50</v>
      </c>
      <c r="G307" s="261">
        <v>0</v>
      </c>
      <c r="H307">
        <v>45</v>
      </c>
      <c r="I307" s="261">
        <v>0.02</v>
      </c>
      <c r="J307" s="261">
        <v>0.04</v>
      </c>
      <c r="K307" s="261">
        <v>0.81</v>
      </c>
      <c r="L307" s="263">
        <v>4.1</v>
      </c>
      <c r="M307" s="252">
        <v>140</v>
      </c>
      <c r="N307" s="261">
        <v>2.62</v>
      </c>
      <c r="O307" s="263">
        <v>0</v>
      </c>
      <c r="P307" s="263">
        <v>-0.5</v>
      </c>
      <c r="Q307" s="263">
        <v>7.4</v>
      </c>
    </row>
    <row r="308" spans="1:17" ht="12.75">
      <c r="A308" s="251" t="str">
        <f>HYPERLINK("http://ct.wwsires.com/bull/250HO11837","MCCORD")</f>
        <v>MCCORD</v>
      </c>
      <c r="B308" t="s">
        <v>573</v>
      </c>
      <c r="C308" t="s">
        <v>419</v>
      </c>
      <c r="D308">
        <v>2363</v>
      </c>
      <c r="E308">
        <v>822</v>
      </c>
      <c r="F308">
        <v>66</v>
      </c>
      <c r="G308" s="261">
        <v>0.13</v>
      </c>
      <c r="H308">
        <v>32</v>
      </c>
      <c r="I308" s="261">
        <v>0.02</v>
      </c>
      <c r="J308" s="261">
        <v>1.54</v>
      </c>
      <c r="K308" s="261">
        <v>1.74</v>
      </c>
      <c r="L308" s="263">
        <v>3.8</v>
      </c>
      <c r="M308" s="252">
        <v>139</v>
      </c>
      <c r="N308" s="261">
        <v>2.96</v>
      </c>
      <c r="O308" s="263">
        <v>1.7</v>
      </c>
      <c r="P308" s="263">
        <v>1.2</v>
      </c>
      <c r="Q308" s="263">
        <v>6.2</v>
      </c>
    </row>
    <row r="309" spans="1:17" ht="12.75">
      <c r="A309" s="251" t="str">
        <f>HYPERLINK("http://ct.wwsires.com/bull/7HO11957","TRAYNOR")</f>
        <v>TRAYNOR</v>
      </c>
      <c r="B309" t="s">
        <v>574</v>
      </c>
      <c r="C309" t="s">
        <v>575</v>
      </c>
      <c r="D309">
        <v>2335</v>
      </c>
      <c r="E309">
        <v>2047</v>
      </c>
      <c r="F309">
        <v>59</v>
      </c>
      <c r="G309" s="261">
        <v>-0.06</v>
      </c>
      <c r="H309">
        <v>51</v>
      </c>
      <c r="I309" s="261">
        <v>-0.04</v>
      </c>
      <c r="J309" s="261">
        <v>1.79</v>
      </c>
      <c r="K309" s="261">
        <v>1.06</v>
      </c>
      <c r="L309" s="263">
        <v>4.1</v>
      </c>
      <c r="M309" s="252">
        <v>139</v>
      </c>
      <c r="N309" s="261">
        <v>2.76</v>
      </c>
      <c r="O309" s="263">
        <v>-0.6</v>
      </c>
      <c r="P309" s="263">
        <v>-1.2</v>
      </c>
      <c r="Q309" s="263">
        <v>6.7</v>
      </c>
    </row>
    <row r="310" spans="1:17" ht="12.75">
      <c r="A310" s="251" t="str">
        <f>HYPERLINK("http://ct.wwsires.com/bull/14HO07451","HUNK")</f>
        <v>HUNK</v>
      </c>
      <c r="B310" t="s">
        <v>576</v>
      </c>
      <c r="C310" t="s">
        <v>577</v>
      </c>
      <c r="D310">
        <v>2387</v>
      </c>
      <c r="E310">
        <v>1023</v>
      </c>
      <c r="F310">
        <v>65</v>
      </c>
      <c r="G310" s="261">
        <v>0.09</v>
      </c>
      <c r="H310">
        <v>49</v>
      </c>
      <c r="I310" s="261">
        <v>0.06</v>
      </c>
      <c r="J310" s="261">
        <v>0.88</v>
      </c>
      <c r="K310" s="261">
        <v>0.71</v>
      </c>
      <c r="L310" s="263">
        <v>4.7</v>
      </c>
      <c r="M310" s="252">
        <v>139</v>
      </c>
      <c r="N310" s="261">
        <v>2.92</v>
      </c>
      <c r="O310" s="263">
        <v>1.9</v>
      </c>
      <c r="P310" s="263">
        <v>2.5</v>
      </c>
      <c r="Q310" s="263">
        <v>5.5</v>
      </c>
    </row>
    <row r="311" spans="1:17" ht="12.75">
      <c r="A311" s="251" t="str">
        <f>HYPERLINK("http://ct.wwsires.com/bull/7HO12556","PAGEONE")</f>
        <v>PAGEONE</v>
      </c>
      <c r="B311" t="s">
        <v>578</v>
      </c>
      <c r="C311" t="s">
        <v>579</v>
      </c>
      <c r="D311">
        <v>2557</v>
      </c>
      <c r="E311">
        <v>1430</v>
      </c>
      <c r="F311">
        <v>46</v>
      </c>
      <c r="G311" s="261">
        <v>-0.02</v>
      </c>
      <c r="H311">
        <v>49</v>
      </c>
      <c r="I311" s="261">
        <v>0.02</v>
      </c>
      <c r="J311" s="261">
        <v>1.33</v>
      </c>
      <c r="K311" s="261">
        <v>1.58</v>
      </c>
      <c r="L311" s="263">
        <v>7.1</v>
      </c>
      <c r="M311" s="252">
        <v>138</v>
      </c>
      <c r="N311" s="261">
        <v>2.59</v>
      </c>
      <c r="O311" s="263">
        <v>3.4</v>
      </c>
      <c r="P311" s="263">
        <v>3.7</v>
      </c>
      <c r="Q311" s="263">
        <v>4.6</v>
      </c>
    </row>
    <row r="312" spans="1:17" ht="12.75">
      <c r="A312" s="251" t="str">
        <f>HYPERLINK("http://ct.wwsires.com/bull/7HO12253","PHOE")</f>
        <v>PHOE</v>
      </c>
      <c r="B312" t="s">
        <v>580</v>
      </c>
      <c r="C312" t="s">
        <v>581</v>
      </c>
      <c r="D312">
        <v>2387</v>
      </c>
      <c r="E312">
        <v>1114</v>
      </c>
      <c r="F312">
        <v>64</v>
      </c>
      <c r="G312" s="261">
        <v>0.08</v>
      </c>
      <c r="H312">
        <v>36</v>
      </c>
      <c r="I312" s="261">
        <v>0.01</v>
      </c>
      <c r="J312" s="261">
        <v>1.4</v>
      </c>
      <c r="K312" s="261">
        <v>1.51</v>
      </c>
      <c r="L312" s="263">
        <v>6.2</v>
      </c>
      <c r="M312" s="252">
        <v>138</v>
      </c>
      <c r="N312" s="261">
        <v>2.79</v>
      </c>
      <c r="O312" s="263">
        <v>2</v>
      </c>
      <c r="P312" s="263">
        <v>1.6</v>
      </c>
      <c r="Q312" s="263">
        <v>7</v>
      </c>
    </row>
    <row r="313" spans="1:17" ht="12.75">
      <c r="A313" s="251" t="str">
        <f>HYPERLINK("http://ct.wwsires.com/bull/7HO12615","SCENARIO")</f>
        <v>SCENARIO</v>
      </c>
      <c r="B313" t="s">
        <v>582</v>
      </c>
      <c r="C313" t="s">
        <v>583</v>
      </c>
      <c r="D313">
        <v>2649</v>
      </c>
      <c r="E313">
        <v>1167</v>
      </c>
      <c r="F313">
        <v>67</v>
      </c>
      <c r="G313" s="261">
        <v>0.09</v>
      </c>
      <c r="H313">
        <v>48</v>
      </c>
      <c r="I313" s="261">
        <v>0.04</v>
      </c>
      <c r="J313" s="261">
        <v>2.31</v>
      </c>
      <c r="K313" s="261">
        <v>2.14</v>
      </c>
      <c r="L313" s="263">
        <v>6.8</v>
      </c>
      <c r="M313" s="252">
        <v>138</v>
      </c>
      <c r="N313" s="261">
        <v>2.95</v>
      </c>
      <c r="O313" s="263">
        <v>4.4</v>
      </c>
      <c r="P313" s="263">
        <v>4.7</v>
      </c>
      <c r="Q313" s="263">
        <v>7</v>
      </c>
    </row>
    <row r="314" spans="1:17" ht="12.75">
      <c r="A314" s="251" t="str">
        <f>HYPERLINK("http://ct.wwsires.com/bull/7HO12884","OPTION")</f>
        <v>OPTION</v>
      </c>
      <c r="B314" t="s">
        <v>584</v>
      </c>
      <c r="C314" t="s">
        <v>585</v>
      </c>
      <c r="D314">
        <v>2681</v>
      </c>
      <c r="E314">
        <v>1211</v>
      </c>
      <c r="F314">
        <v>59</v>
      </c>
      <c r="G314" s="261">
        <v>0.05</v>
      </c>
      <c r="H314">
        <v>46</v>
      </c>
      <c r="I314" s="261">
        <v>0.03</v>
      </c>
      <c r="J314" s="261">
        <v>2.38</v>
      </c>
      <c r="K314" s="261">
        <v>2.69</v>
      </c>
      <c r="L314" s="263">
        <v>9.7</v>
      </c>
      <c r="M314" s="252">
        <v>138</v>
      </c>
      <c r="N314" s="261">
        <v>2.46</v>
      </c>
      <c r="O314" s="263">
        <v>2.1</v>
      </c>
      <c r="P314" s="263">
        <v>2</v>
      </c>
      <c r="Q314" s="263">
        <v>7.4</v>
      </c>
    </row>
    <row r="315" spans="1:17" ht="12.75">
      <c r="A315" s="251" t="str">
        <f>HYPERLINK("http://ct.wwsires.com/bull/7HO13731","FLYER")</f>
        <v>FLYER</v>
      </c>
      <c r="B315" t="s">
        <v>586</v>
      </c>
      <c r="C315" t="s">
        <v>587</v>
      </c>
      <c r="D315">
        <v>2829</v>
      </c>
      <c r="E315">
        <v>1464</v>
      </c>
      <c r="F315">
        <v>61</v>
      </c>
      <c r="G315" s="261">
        <v>0.03</v>
      </c>
      <c r="H315">
        <v>54</v>
      </c>
      <c r="I315" s="261">
        <v>0.03</v>
      </c>
      <c r="J315" s="261">
        <v>2.5300000000000002</v>
      </c>
      <c r="K315" s="261">
        <v>2.34</v>
      </c>
      <c r="L315" s="263">
        <v>10.2</v>
      </c>
      <c r="M315" s="252">
        <v>138</v>
      </c>
      <c r="N315" s="261">
        <v>2.57</v>
      </c>
      <c r="O315" s="263">
        <v>5.3</v>
      </c>
      <c r="P315" s="263">
        <v>5.1</v>
      </c>
      <c r="Q315" s="263">
        <v>7.2</v>
      </c>
    </row>
    <row r="316" spans="1:17" ht="12.75">
      <c r="A316" s="251" t="str">
        <f>HYPERLINK("http://ct.wwsires.com/bull/7HO11585","STERLING")</f>
        <v>STERLING</v>
      </c>
      <c r="B316" t="s">
        <v>588</v>
      </c>
      <c r="C316" t="s">
        <v>589</v>
      </c>
      <c r="D316">
        <v>2445</v>
      </c>
      <c r="E316">
        <v>1840</v>
      </c>
      <c r="F316">
        <v>49</v>
      </c>
      <c r="G316" s="261">
        <v>-0.07</v>
      </c>
      <c r="H316">
        <v>59</v>
      </c>
      <c r="I316" s="261">
        <v>0.01</v>
      </c>
      <c r="J316" s="261">
        <v>2.04</v>
      </c>
      <c r="K316" s="261">
        <v>1.25</v>
      </c>
      <c r="L316" s="263">
        <v>5.8</v>
      </c>
      <c r="M316" s="252">
        <v>138</v>
      </c>
      <c r="N316" s="261">
        <v>3.18</v>
      </c>
      <c r="O316" s="263">
        <v>1.5</v>
      </c>
      <c r="P316" s="263">
        <v>0.5</v>
      </c>
      <c r="Q316" s="263">
        <v>6.7</v>
      </c>
    </row>
    <row r="317" spans="1:17" ht="12.75">
      <c r="A317" s="251" t="str">
        <f>HYPERLINK("http://ct.wwsires.com/bull/250HO13553","SPIKE")</f>
        <v>SPIKE</v>
      </c>
      <c r="B317" t="s">
        <v>590</v>
      </c>
      <c r="C317" t="s">
        <v>591</v>
      </c>
      <c r="D317">
        <v>2597</v>
      </c>
      <c r="E317">
        <v>1614</v>
      </c>
      <c r="F317">
        <v>68</v>
      </c>
      <c r="G317" s="261">
        <v>0.03</v>
      </c>
      <c r="H317">
        <v>52</v>
      </c>
      <c r="I317" s="261">
        <v>0.01</v>
      </c>
      <c r="J317" s="261">
        <v>3.18</v>
      </c>
      <c r="K317" s="261">
        <v>2.94</v>
      </c>
      <c r="L317" s="263">
        <v>5.5</v>
      </c>
      <c r="M317" s="252">
        <v>138</v>
      </c>
      <c r="N317" s="261">
        <v>2.65</v>
      </c>
      <c r="O317" s="263">
        <v>0.3</v>
      </c>
      <c r="P317" s="263">
        <v>0.5</v>
      </c>
      <c r="Q317" s="263">
        <v>8.6</v>
      </c>
    </row>
    <row r="318" spans="1:17" ht="12.75">
      <c r="A318" s="251" t="str">
        <f>HYPERLINK("http://ct.wwsires.com/bull/14HO13896","YETI")</f>
        <v>YETI</v>
      </c>
      <c r="B318" t="s">
        <v>592</v>
      </c>
      <c r="C318" t="s">
        <v>593</v>
      </c>
      <c r="D318">
        <v>2711</v>
      </c>
      <c r="E318">
        <v>2042</v>
      </c>
      <c r="F318">
        <v>48</v>
      </c>
      <c r="G318" s="261">
        <v>-0.1</v>
      </c>
      <c r="H318">
        <v>67</v>
      </c>
      <c r="I318" s="261">
        <v>0.02</v>
      </c>
      <c r="J318" s="261">
        <v>2.33</v>
      </c>
      <c r="K318" s="261">
        <v>2.26</v>
      </c>
      <c r="L318" s="263">
        <v>9.7</v>
      </c>
      <c r="M318" s="252">
        <v>137</v>
      </c>
      <c r="N318" s="261">
        <v>2.66</v>
      </c>
      <c r="O318" s="263">
        <v>2.8</v>
      </c>
      <c r="P318" s="263">
        <v>2.6</v>
      </c>
      <c r="Q318" s="263">
        <v>7.1</v>
      </c>
    </row>
    <row r="319" spans="1:17" ht="12.75">
      <c r="A319" s="251" t="str">
        <f>HYPERLINK("http://ct.wwsires.com/bull/7HO13671","MONGO P")</f>
        <v>MONGO P</v>
      </c>
      <c r="B319" t="s">
        <v>594</v>
      </c>
      <c r="C319" t="s">
        <v>595</v>
      </c>
      <c r="D319">
        <v>2575</v>
      </c>
      <c r="E319">
        <v>932</v>
      </c>
      <c r="F319">
        <v>55</v>
      </c>
      <c r="G319" s="261">
        <v>0.08</v>
      </c>
      <c r="H319">
        <v>44</v>
      </c>
      <c r="I319" s="261">
        <v>0.05</v>
      </c>
      <c r="J319" s="261">
        <v>1.22</v>
      </c>
      <c r="K319" s="261">
        <v>1.75</v>
      </c>
      <c r="L319" s="263">
        <v>7.4</v>
      </c>
      <c r="M319" s="252">
        <v>137</v>
      </c>
      <c r="N319" s="261">
        <v>2.75</v>
      </c>
      <c r="O319" s="263">
        <v>4.4</v>
      </c>
      <c r="P319" s="263">
        <v>4</v>
      </c>
      <c r="Q319" s="263">
        <v>7.4</v>
      </c>
    </row>
    <row r="320" spans="1:17" ht="12.75">
      <c r="A320" s="251" t="str">
        <f>HYPERLINK("http://ct.wwsires.com/bull/14HO13973","DICTATE-PP")</f>
        <v>DICTATE-PP</v>
      </c>
      <c r="B320" t="s">
        <v>596</v>
      </c>
      <c r="C320" t="s">
        <v>597</v>
      </c>
      <c r="D320">
        <v>2403</v>
      </c>
      <c r="E320">
        <v>1786</v>
      </c>
      <c r="F320">
        <v>52</v>
      </c>
      <c r="G320" s="261">
        <v>-0.05</v>
      </c>
      <c r="H320">
        <v>56</v>
      </c>
      <c r="I320" s="261">
        <v>0.01</v>
      </c>
      <c r="J320" s="261">
        <v>2.85</v>
      </c>
      <c r="K320" s="261">
        <v>2.69</v>
      </c>
      <c r="L320" s="263">
        <v>3.4</v>
      </c>
      <c r="M320" s="252">
        <v>137</v>
      </c>
      <c r="N320" s="261">
        <v>2.99</v>
      </c>
      <c r="O320" s="263">
        <v>-0.3</v>
      </c>
      <c r="P320" s="263">
        <v>-1</v>
      </c>
      <c r="Q320" s="263">
        <v>8.3</v>
      </c>
    </row>
    <row r="321" spans="1:17" ht="12.75">
      <c r="A321" s="251" t="str">
        <f>HYPERLINK("http://ct.wwsires.com/bull/7HO12131","MCGIRT")</f>
        <v>MCGIRT</v>
      </c>
      <c r="B321" t="s">
        <v>598</v>
      </c>
      <c r="C321" t="s">
        <v>599</v>
      </c>
      <c r="D321">
        <v>2517</v>
      </c>
      <c r="E321">
        <v>1996</v>
      </c>
      <c r="F321">
        <v>72</v>
      </c>
      <c r="G321" s="261">
        <v>-0.01</v>
      </c>
      <c r="H321">
        <v>53</v>
      </c>
      <c r="I321" s="261">
        <v>-0.03</v>
      </c>
      <c r="J321" s="261">
        <v>1.81</v>
      </c>
      <c r="K321" s="261">
        <v>2.01</v>
      </c>
      <c r="L321" s="263">
        <v>3.8</v>
      </c>
      <c r="M321" s="252">
        <v>137</v>
      </c>
      <c r="N321" s="261">
        <v>2.8</v>
      </c>
      <c r="O321" s="263">
        <v>1.2</v>
      </c>
      <c r="P321" s="263">
        <v>1.1</v>
      </c>
      <c r="Q321" s="263">
        <v>6.8</v>
      </c>
    </row>
    <row r="322" spans="1:17" ht="12.75">
      <c r="A322" s="251" t="str">
        <f>HYPERLINK("http://ct.wwsires.com/bull/250HO12961","DOC")</f>
        <v>DOC</v>
      </c>
      <c r="B322" t="s">
        <v>600</v>
      </c>
      <c r="C322" t="s">
        <v>601</v>
      </c>
      <c r="D322">
        <v>2657</v>
      </c>
      <c r="E322">
        <v>1522</v>
      </c>
      <c r="F322">
        <v>67</v>
      </c>
      <c r="G322" s="261">
        <v>0.04</v>
      </c>
      <c r="H322">
        <v>51</v>
      </c>
      <c r="I322" s="261">
        <v>0.02</v>
      </c>
      <c r="J322" s="261">
        <v>4.01</v>
      </c>
      <c r="K322" s="261">
        <v>2.89</v>
      </c>
      <c r="L322" s="263">
        <v>4.8</v>
      </c>
      <c r="M322" s="252">
        <v>137</v>
      </c>
      <c r="N322" s="261">
        <v>2.92</v>
      </c>
      <c r="O322" s="263">
        <v>1.9</v>
      </c>
      <c r="P322" s="263">
        <v>1.8</v>
      </c>
      <c r="Q322" s="263">
        <v>7.8</v>
      </c>
    </row>
    <row r="323" spans="1:17" ht="12.75">
      <c r="A323" s="251" t="str">
        <f>HYPERLINK("http://ct.wwsires.com/bull/14HO07809","AXEL")</f>
        <v>AXEL</v>
      </c>
      <c r="B323" t="s">
        <v>602</v>
      </c>
      <c r="C323" t="s">
        <v>603</v>
      </c>
      <c r="D323">
        <v>2590</v>
      </c>
      <c r="E323">
        <v>1638</v>
      </c>
      <c r="F323">
        <v>50</v>
      </c>
      <c r="G323" s="261">
        <v>-0.04</v>
      </c>
      <c r="H323">
        <v>60</v>
      </c>
      <c r="I323" s="261">
        <v>0.04</v>
      </c>
      <c r="J323" s="261">
        <v>1.8900000000000001</v>
      </c>
      <c r="K323" s="261">
        <v>1.29</v>
      </c>
      <c r="L323" s="263">
        <v>7.3</v>
      </c>
      <c r="M323" s="252">
        <v>137</v>
      </c>
      <c r="N323" s="261">
        <v>2.74</v>
      </c>
      <c r="O323" s="263">
        <v>3.6</v>
      </c>
      <c r="P323" s="263">
        <v>3.1</v>
      </c>
      <c r="Q323" s="263">
        <v>6.8</v>
      </c>
    </row>
    <row r="324" spans="1:17" ht="12.75">
      <c r="A324" s="251" t="str">
        <f>HYPERLINK("http://ct.wwsires.com/bull/7HO14026","METEOR")</f>
        <v>METEOR</v>
      </c>
      <c r="B324" t="s">
        <v>604</v>
      </c>
      <c r="C324" t="s">
        <v>605</v>
      </c>
      <c r="D324">
        <v>2754</v>
      </c>
      <c r="E324">
        <v>1539</v>
      </c>
      <c r="F324">
        <v>59</v>
      </c>
      <c r="G324" s="261">
        <v>0</v>
      </c>
      <c r="H324">
        <v>60</v>
      </c>
      <c r="I324" s="261">
        <v>0.05</v>
      </c>
      <c r="J324" s="261">
        <v>2.98</v>
      </c>
      <c r="K324" s="261">
        <v>2.58</v>
      </c>
      <c r="L324" s="263">
        <v>8.3</v>
      </c>
      <c r="M324" s="252">
        <v>136</v>
      </c>
      <c r="N324" s="261">
        <v>2.9</v>
      </c>
      <c r="O324" s="263">
        <v>3.4</v>
      </c>
      <c r="P324" s="263">
        <v>3.3</v>
      </c>
      <c r="Q324" s="263">
        <v>7.1</v>
      </c>
    </row>
    <row r="325" spans="1:17" ht="12.75">
      <c r="A325" s="251" t="str">
        <f>HYPERLINK("http://ct.wwsires.com/bull/250HO01131","SALT")</f>
        <v>SALT</v>
      </c>
      <c r="B325" t="s">
        <v>606</v>
      </c>
      <c r="C325" t="s">
        <v>607</v>
      </c>
      <c r="D325">
        <v>2518</v>
      </c>
      <c r="E325">
        <v>255</v>
      </c>
      <c r="F325">
        <v>65</v>
      </c>
      <c r="G325" s="261">
        <v>0.21</v>
      </c>
      <c r="H325">
        <v>33</v>
      </c>
      <c r="I325" s="261">
        <v>0.09</v>
      </c>
      <c r="J325" s="261">
        <v>2.29</v>
      </c>
      <c r="K325" s="261">
        <v>2.82</v>
      </c>
      <c r="L325" s="263">
        <v>5.8</v>
      </c>
      <c r="M325" s="252">
        <v>136</v>
      </c>
      <c r="N325" s="261">
        <v>2.81</v>
      </c>
      <c r="O325" s="263">
        <v>1.7</v>
      </c>
      <c r="P325" s="263">
        <v>1.3</v>
      </c>
      <c r="Q325" s="263">
        <v>6.2</v>
      </c>
    </row>
    <row r="326" spans="1:17" ht="12.75">
      <c r="A326" s="251" t="str">
        <f>HYPERLINK("http://ct.wwsires.com/bull/14HO07569","MEGAFORTUNE")</f>
        <v>MEGAFORTUNE</v>
      </c>
      <c r="B326" t="s">
        <v>608</v>
      </c>
      <c r="C326" t="s">
        <v>609</v>
      </c>
      <c r="D326">
        <v>2460</v>
      </c>
      <c r="E326">
        <v>1324</v>
      </c>
      <c r="F326">
        <v>60</v>
      </c>
      <c r="G326" s="261">
        <v>0.04</v>
      </c>
      <c r="H326">
        <v>44</v>
      </c>
      <c r="I326" s="261">
        <v>0.01</v>
      </c>
      <c r="J326" s="261">
        <v>1.63</v>
      </c>
      <c r="K326" s="261">
        <v>1.3900000000000001</v>
      </c>
      <c r="L326" s="263">
        <v>7.2</v>
      </c>
      <c r="M326" s="252">
        <v>136</v>
      </c>
      <c r="N326" s="261">
        <v>2.9699999999999998</v>
      </c>
      <c r="O326" s="263">
        <v>2.9</v>
      </c>
      <c r="P326" s="263">
        <v>2.3</v>
      </c>
      <c r="Q326" s="263">
        <v>8.8</v>
      </c>
    </row>
    <row r="327" spans="1:17" ht="12.75">
      <c r="A327" s="251" t="str">
        <f>HYPERLINK("http://ct.wwsires.com/bull/14HO07841","LAVON")</f>
        <v>LAVON</v>
      </c>
      <c r="B327" t="s">
        <v>610</v>
      </c>
      <c r="C327" t="s">
        <v>611</v>
      </c>
      <c r="D327">
        <v>2618</v>
      </c>
      <c r="E327">
        <v>2001</v>
      </c>
      <c r="F327">
        <v>47</v>
      </c>
      <c r="G327" s="261">
        <v>-0.1</v>
      </c>
      <c r="H327">
        <v>62</v>
      </c>
      <c r="I327" s="261">
        <v>0.01</v>
      </c>
      <c r="J327" s="261">
        <v>1.3</v>
      </c>
      <c r="K327" s="261">
        <v>1.04</v>
      </c>
      <c r="L327" s="263">
        <v>8.9</v>
      </c>
      <c r="M327" s="252">
        <v>135</v>
      </c>
      <c r="N327" s="261">
        <v>2.75</v>
      </c>
      <c r="O327" s="263">
        <v>4</v>
      </c>
      <c r="P327" s="263">
        <v>4.5</v>
      </c>
      <c r="Q327" s="263">
        <v>6.9</v>
      </c>
    </row>
    <row r="328" spans="1:17" ht="12.75">
      <c r="A328" s="251" t="str">
        <f>HYPERLINK("http://ct.wwsires.com/bull/7HO13373","FLAGSHIP")</f>
        <v>FLAGSHIP</v>
      </c>
      <c r="B328" t="s">
        <v>612</v>
      </c>
      <c r="C328" t="s">
        <v>613</v>
      </c>
      <c r="D328">
        <v>2661</v>
      </c>
      <c r="E328">
        <v>778</v>
      </c>
      <c r="F328">
        <v>64</v>
      </c>
      <c r="G328" s="261">
        <v>0.13</v>
      </c>
      <c r="H328">
        <v>38</v>
      </c>
      <c r="I328" s="261">
        <v>0.06</v>
      </c>
      <c r="J328" s="261">
        <v>2.2</v>
      </c>
      <c r="K328" s="261">
        <v>2.23</v>
      </c>
      <c r="L328" s="263">
        <v>9.3</v>
      </c>
      <c r="M328" s="252">
        <v>135</v>
      </c>
      <c r="N328" s="261">
        <v>2.7</v>
      </c>
      <c r="O328" s="263">
        <v>3.6</v>
      </c>
      <c r="P328" s="263">
        <v>3.4</v>
      </c>
      <c r="Q328" s="263">
        <v>5.8</v>
      </c>
    </row>
    <row r="329" spans="1:17" ht="12.75">
      <c r="A329" s="251" t="str">
        <f>HYPERLINK("http://ct.wwsires.com/bull/7HO12345","LUNDY")</f>
        <v>LUNDY</v>
      </c>
      <c r="B329" t="s">
        <v>614</v>
      </c>
      <c r="C329" t="s">
        <v>615</v>
      </c>
      <c r="D329">
        <v>2401</v>
      </c>
      <c r="E329">
        <v>1258</v>
      </c>
      <c r="F329">
        <v>59</v>
      </c>
      <c r="G329" s="261">
        <v>0.05</v>
      </c>
      <c r="H329">
        <v>43</v>
      </c>
      <c r="I329" s="261">
        <v>0.02</v>
      </c>
      <c r="J329" s="261">
        <v>1.46</v>
      </c>
      <c r="K329" s="261">
        <v>1.47</v>
      </c>
      <c r="L329" s="263">
        <v>6.5</v>
      </c>
      <c r="M329" s="252">
        <v>135</v>
      </c>
      <c r="N329" s="261">
        <v>2.75</v>
      </c>
      <c r="O329" s="263">
        <v>1</v>
      </c>
      <c r="P329" s="263">
        <v>0.7</v>
      </c>
      <c r="Q329" s="263">
        <v>5.6</v>
      </c>
    </row>
    <row r="330" spans="1:17" ht="12.75">
      <c r="A330" s="251" t="str">
        <f>HYPERLINK("http://ct.wwsires.com/bull/250HO13617","EZEKIEL")</f>
        <v>EZEKIEL</v>
      </c>
      <c r="B330" t="s">
        <v>616</v>
      </c>
      <c r="C330" t="s">
        <v>617</v>
      </c>
      <c r="D330">
        <v>2699</v>
      </c>
      <c r="E330">
        <v>1860</v>
      </c>
      <c r="F330">
        <v>65</v>
      </c>
      <c r="G330" s="261">
        <v>-0.01</v>
      </c>
      <c r="H330">
        <v>56</v>
      </c>
      <c r="I330" s="261">
        <v>0</v>
      </c>
      <c r="J330" s="261">
        <v>2.76</v>
      </c>
      <c r="K330" s="261">
        <v>1.94</v>
      </c>
      <c r="L330" s="263">
        <v>8.9</v>
      </c>
      <c r="M330" s="252">
        <v>135</v>
      </c>
      <c r="N330" s="261">
        <v>2.62</v>
      </c>
      <c r="O330" s="263">
        <v>3.2</v>
      </c>
      <c r="P330" s="263">
        <v>3.1</v>
      </c>
      <c r="Q330" s="263">
        <v>8.8</v>
      </c>
    </row>
    <row r="331" spans="1:17" ht="12.75">
      <c r="A331" s="251" t="str">
        <f>HYPERLINK("http://ct.wwsires.com/bull/7HO12848","ATTEMPT-RED")</f>
        <v>ATTEMPT-RED</v>
      </c>
      <c r="B331" t="s">
        <v>618</v>
      </c>
      <c r="C331" t="s">
        <v>619</v>
      </c>
      <c r="D331">
        <v>2380</v>
      </c>
      <c r="E331">
        <v>1505</v>
      </c>
      <c r="F331">
        <v>65</v>
      </c>
      <c r="G331" s="261">
        <v>0.03</v>
      </c>
      <c r="H331">
        <v>45</v>
      </c>
      <c r="I331" s="261">
        <v>0</v>
      </c>
      <c r="J331" s="261">
        <v>2.39</v>
      </c>
      <c r="K331" s="261">
        <v>1.81</v>
      </c>
      <c r="L331" s="263">
        <v>4.1</v>
      </c>
      <c r="M331" s="252">
        <v>135</v>
      </c>
      <c r="N331" s="261">
        <v>2.77</v>
      </c>
      <c r="O331" s="263">
        <v>-1.1</v>
      </c>
      <c r="P331" s="263">
        <v>-0.8</v>
      </c>
      <c r="Q331" s="263">
        <v>7.6</v>
      </c>
    </row>
    <row r="332" spans="1:17" ht="12.75">
      <c r="A332" s="251" t="str">
        <f>HYPERLINK("http://ct.wwsires.com/bull/7HO13238","TOM")</f>
        <v>TOM</v>
      </c>
      <c r="B332" t="s">
        <v>620</v>
      </c>
      <c r="C332" t="s">
        <v>621</v>
      </c>
      <c r="D332">
        <v>2433</v>
      </c>
      <c r="E332">
        <v>1290</v>
      </c>
      <c r="F332">
        <v>59</v>
      </c>
      <c r="G332" s="261">
        <v>0.05</v>
      </c>
      <c r="H332">
        <v>43</v>
      </c>
      <c r="I332" s="261">
        <v>0.02</v>
      </c>
      <c r="J332" s="261">
        <v>2.6</v>
      </c>
      <c r="K332" s="261">
        <v>2.48</v>
      </c>
      <c r="L332" s="263">
        <v>5</v>
      </c>
      <c r="M332" s="252">
        <v>135</v>
      </c>
      <c r="N332" s="261">
        <v>2.89</v>
      </c>
      <c r="O332" s="263">
        <v>0.1</v>
      </c>
      <c r="P332" s="263">
        <v>-0.2</v>
      </c>
      <c r="Q332" s="263">
        <v>9.8</v>
      </c>
    </row>
    <row r="333" spans="1:17" ht="12.75">
      <c r="A333" s="251" t="str">
        <f>HYPERLINK("http://ct.wwsires.com/bull/714HO00045","NIGHT")</f>
        <v>NIGHT</v>
      </c>
      <c r="B333" t="s">
        <v>622</v>
      </c>
      <c r="C333" t="s">
        <v>623</v>
      </c>
      <c r="D333">
        <v>2523</v>
      </c>
      <c r="E333">
        <v>714</v>
      </c>
      <c r="F333">
        <v>62</v>
      </c>
      <c r="G333" s="261">
        <v>0.13</v>
      </c>
      <c r="H333">
        <v>38</v>
      </c>
      <c r="I333" s="261">
        <v>0.05</v>
      </c>
      <c r="J333" s="261">
        <v>2.2</v>
      </c>
      <c r="K333" s="261">
        <v>2.57</v>
      </c>
      <c r="L333" s="263">
        <v>6.2</v>
      </c>
      <c r="M333" s="252">
        <v>135</v>
      </c>
      <c r="N333" s="261">
        <v>2.7</v>
      </c>
      <c r="O333" s="263">
        <v>2.1</v>
      </c>
      <c r="P333" s="263">
        <v>2.4</v>
      </c>
      <c r="Q333" s="263">
        <v>6.7</v>
      </c>
    </row>
    <row r="334" spans="1:17" ht="12.75">
      <c r="A334" s="251" t="str">
        <f>HYPERLINK("http://ct.wwsires.com/bull/250HO01118","PEPPER")</f>
        <v>PEPPER</v>
      </c>
      <c r="B334" t="s">
        <v>624</v>
      </c>
      <c r="C334" t="s">
        <v>607</v>
      </c>
      <c r="D334">
        <v>2519</v>
      </c>
      <c r="E334">
        <v>255</v>
      </c>
      <c r="F334">
        <v>65</v>
      </c>
      <c r="G334" s="261">
        <v>0.21</v>
      </c>
      <c r="H334">
        <v>33</v>
      </c>
      <c r="I334" s="261">
        <v>0.09</v>
      </c>
      <c r="J334" s="261">
        <v>2.35</v>
      </c>
      <c r="K334" s="261">
        <v>2.79</v>
      </c>
      <c r="L334" s="263">
        <v>5.8</v>
      </c>
      <c r="M334" s="252">
        <v>135</v>
      </c>
      <c r="N334" s="261">
        <v>2.81</v>
      </c>
      <c r="O334" s="263">
        <v>1.7</v>
      </c>
      <c r="P334" s="263">
        <v>1.3</v>
      </c>
      <c r="Q334" s="263">
        <v>6.2</v>
      </c>
    </row>
    <row r="335" spans="1:17" ht="12.75">
      <c r="A335" s="251" t="str">
        <f>HYPERLINK("http://ct.wwsires.com/bull/14HO07880","OUTBACK")</f>
        <v>OUTBACK</v>
      </c>
      <c r="B335" t="s">
        <v>625</v>
      </c>
      <c r="C335" t="s">
        <v>626</v>
      </c>
      <c r="D335">
        <v>2575</v>
      </c>
      <c r="E335">
        <v>1278</v>
      </c>
      <c r="F335">
        <v>67</v>
      </c>
      <c r="G335" s="261">
        <v>0.07</v>
      </c>
      <c r="H335">
        <v>40</v>
      </c>
      <c r="I335" s="261">
        <v>0</v>
      </c>
      <c r="J335" s="261">
        <v>1.9100000000000001</v>
      </c>
      <c r="K335" s="261">
        <v>2.04</v>
      </c>
      <c r="L335" s="263">
        <v>7.5</v>
      </c>
      <c r="M335" s="252">
        <v>134</v>
      </c>
      <c r="N335" s="261">
        <v>2.61</v>
      </c>
      <c r="O335" s="263">
        <v>2.6</v>
      </c>
      <c r="P335" s="263">
        <v>2.5</v>
      </c>
      <c r="Q335" s="263">
        <v>6.8</v>
      </c>
    </row>
    <row r="336" spans="1:17" ht="12.75">
      <c r="A336" s="251" t="str">
        <f>HYPERLINK("http://ct.wwsires.com/bull/250HO12305","KOOP")</f>
        <v>KOOP</v>
      </c>
      <c r="B336" t="s">
        <v>627</v>
      </c>
      <c r="C336" t="s">
        <v>628</v>
      </c>
      <c r="D336">
        <v>2203</v>
      </c>
      <c r="E336">
        <v>960</v>
      </c>
      <c r="F336">
        <v>53</v>
      </c>
      <c r="G336" s="261">
        <v>0.06</v>
      </c>
      <c r="H336">
        <v>50</v>
      </c>
      <c r="I336" s="261">
        <v>0.08</v>
      </c>
      <c r="J336" s="261">
        <v>1.1</v>
      </c>
      <c r="K336" s="261">
        <v>1.51</v>
      </c>
      <c r="L336" s="263">
        <v>0.9</v>
      </c>
      <c r="M336" s="252">
        <v>134</v>
      </c>
      <c r="N336" s="261">
        <v>2.95</v>
      </c>
      <c r="O336" s="263">
        <v>-0.7</v>
      </c>
      <c r="P336" s="263">
        <v>-0.8</v>
      </c>
      <c r="Q336" s="263">
        <v>8.3</v>
      </c>
    </row>
    <row r="337" spans="1:17" ht="12.75">
      <c r="A337" s="251" t="str">
        <f>HYPERLINK("http://ct.wwsires.com/bull/250HO13124","FLATTOP")</f>
        <v>FLATTOP</v>
      </c>
      <c r="B337" t="s">
        <v>629</v>
      </c>
      <c r="C337" t="s">
        <v>630</v>
      </c>
      <c r="D337">
        <v>2437</v>
      </c>
      <c r="E337">
        <v>966</v>
      </c>
      <c r="F337">
        <v>60</v>
      </c>
      <c r="G337" s="261">
        <v>0.08</v>
      </c>
      <c r="H337">
        <v>44</v>
      </c>
      <c r="I337" s="261">
        <v>0.05</v>
      </c>
      <c r="J337" s="261">
        <v>1.5699999999999998</v>
      </c>
      <c r="K337" s="261">
        <v>1.99</v>
      </c>
      <c r="L337" s="263">
        <v>5.3</v>
      </c>
      <c r="M337" s="252">
        <v>134</v>
      </c>
      <c r="N337" s="261">
        <v>2.58</v>
      </c>
      <c r="O337" s="263">
        <v>1.1</v>
      </c>
      <c r="P337" s="263">
        <v>1</v>
      </c>
      <c r="Q337" s="263">
        <v>6.3</v>
      </c>
    </row>
    <row r="338" spans="1:17" ht="12.75">
      <c r="A338" s="251" t="str">
        <f>HYPERLINK("http://ct.wwsires.com/bull/14HO07787","HAS IT")</f>
        <v>HAS IT</v>
      </c>
      <c r="B338" t="s">
        <v>631</v>
      </c>
      <c r="C338" t="s">
        <v>632</v>
      </c>
      <c r="D338">
        <v>2515</v>
      </c>
      <c r="E338">
        <v>1192</v>
      </c>
      <c r="F338">
        <v>59</v>
      </c>
      <c r="G338" s="261">
        <v>0.05</v>
      </c>
      <c r="H338">
        <v>48</v>
      </c>
      <c r="I338" s="261">
        <v>0.04</v>
      </c>
      <c r="J338" s="261">
        <v>2.26</v>
      </c>
      <c r="K338" s="261">
        <v>2.2</v>
      </c>
      <c r="L338" s="263">
        <v>5.2</v>
      </c>
      <c r="M338" s="252">
        <v>134</v>
      </c>
      <c r="N338" s="261">
        <v>2.7800000000000002</v>
      </c>
      <c r="O338" s="263">
        <v>1.8</v>
      </c>
      <c r="P338" s="263">
        <v>1.7</v>
      </c>
      <c r="Q338" s="263">
        <v>6.8</v>
      </c>
    </row>
    <row r="339" spans="1:17" ht="12.75">
      <c r="A339" s="251" t="str">
        <f>HYPERLINK("http://ct.wwsires.com/bull/14HO07724","IMPUTE")</f>
        <v>IMPUTE</v>
      </c>
      <c r="B339" t="s">
        <v>633</v>
      </c>
      <c r="C339" t="s">
        <v>634</v>
      </c>
      <c r="D339">
        <v>2478</v>
      </c>
      <c r="E339">
        <v>792</v>
      </c>
      <c r="F339">
        <v>65</v>
      </c>
      <c r="G339" s="261">
        <v>0.13</v>
      </c>
      <c r="H339">
        <v>35</v>
      </c>
      <c r="I339" s="261">
        <v>0.04</v>
      </c>
      <c r="J339" s="261">
        <v>1.5</v>
      </c>
      <c r="K339" s="261">
        <v>1.69</v>
      </c>
      <c r="L339" s="263">
        <v>5.6</v>
      </c>
      <c r="M339" s="252">
        <v>134</v>
      </c>
      <c r="N339" s="261">
        <v>2.92</v>
      </c>
      <c r="O339" s="263">
        <v>2.9</v>
      </c>
      <c r="P339" s="263">
        <v>3</v>
      </c>
      <c r="Q339" s="263">
        <v>6.7</v>
      </c>
    </row>
    <row r="340" spans="1:17" ht="12.75">
      <c r="A340" s="251" t="str">
        <f>HYPERLINK("http://ct.wwsires.com/bull/14HO07465","REX-RED")</f>
        <v>REX-RED</v>
      </c>
      <c r="B340" t="s">
        <v>635</v>
      </c>
      <c r="C340" t="s">
        <v>636</v>
      </c>
      <c r="D340">
        <v>2207</v>
      </c>
      <c r="E340">
        <v>-457</v>
      </c>
      <c r="F340">
        <v>64</v>
      </c>
      <c r="G340" s="261">
        <v>0.3</v>
      </c>
      <c r="H340">
        <v>26</v>
      </c>
      <c r="I340" s="261">
        <v>0.15</v>
      </c>
      <c r="J340" s="261">
        <v>0.77</v>
      </c>
      <c r="K340" s="261">
        <v>1.05</v>
      </c>
      <c r="L340" s="263">
        <v>0.7</v>
      </c>
      <c r="M340" s="252">
        <v>134</v>
      </c>
      <c r="N340" s="261">
        <v>2.96</v>
      </c>
      <c r="O340" s="263">
        <v>1.6</v>
      </c>
      <c r="P340" s="263">
        <v>1.8</v>
      </c>
      <c r="Q340" s="263">
        <v>6.7</v>
      </c>
    </row>
    <row r="341" spans="1:17" ht="12.75">
      <c r="A341" s="251" t="str">
        <f>HYPERLINK("http://ct.wwsires.com/bull/7HO13710","PERCY-P")</f>
        <v>PERCY-P</v>
      </c>
      <c r="B341" t="s">
        <v>637</v>
      </c>
      <c r="C341" t="s">
        <v>638</v>
      </c>
      <c r="D341">
        <v>2620</v>
      </c>
      <c r="E341">
        <v>913</v>
      </c>
      <c r="F341">
        <v>66</v>
      </c>
      <c r="G341" s="261">
        <v>0.12</v>
      </c>
      <c r="H341">
        <v>41</v>
      </c>
      <c r="I341" s="261">
        <v>0.05</v>
      </c>
      <c r="J341" s="261">
        <v>2.55</v>
      </c>
      <c r="K341" s="261">
        <v>2.25</v>
      </c>
      <c r="L341" s="263">
        <v>6.7</v>
      </c>
      <c r="M341" s="252">
        <v>134</v>
      </c>
      <c r="N341" s="261">
        <v>2.74</v>
      </c>
      <c r="O341" s="263">
        <v>3.5</v>
      </c>
      <c r="P341" s="263">
        <v>3.2</v>
      </c>
      <c r="Q341" s="263">
        <v>8.1</v>
      </c>
    </row>
    <row r="342" spans="1:17" ht="12.75">
      <c r="A342" s="251" t="str">
        <f>HYPERLINK("http://ct.wwsires.com/bull/7HO12344","RAGER-RED")</f>
        <v>RAGER-RED</v>
      </c>
      <c r="B342" t="s">
        <v>639</v>
      </c>
      <c r="C342" t="s">
        <v>640</v>
      </c>
      <c r="D342">
        <v>2481</v>
      </c>
      <c r="E342">
        <v>1400</v>
      </c>
      <c r="F342">
        <v>62</v>
      </c>
      <c r="G342" s="261">
        <v>0.04</v>
      </c>
      <c r="H342">
        <v>47</v>
      </c>
      <c r="I342" s="261">
        <v>0.02</v>
      </c>
      <c r="J342" s="261">
        <v>2.14</v>
      </c>
      <c r="K342" s="261">
        <v>1.69</v>
      </c>
      <c r="L342" s="263">
        <v>5.8</v>
      </c>
      <c r="M342" s="252">
        <v>133</v>
      </c>
      <c r="N342" s="261">
        <v>2.86</v>
      </c>
      <c r="O342" s="263">
        <v>1.9</v>
      </c>
      <c r="P342" s="263">
        <v>2</v>
      </c>
      <c r="Q342" s="263">
        <v>7.8</v>
      </c>
    </row>
    <row r="343" spans="1:17" ht="12.75">
      <c r="A343" s="251" t="str">
        <f>HYPERLINK("http://ct.wwsires.com/bull/14HO07882","ACCELMIRACLE")</f>
        <v>ACCELMIRACLE</v>
      </c>
      <c r="B343" t="s">
        <v>641</v>
      </c>
      <c r="C343" t="s">
        <v>642</v>
      </c>
      <c r="D343">
        <v>2610</v>
      </c>
      <c r="E343">
        <v>758</v>
      </c>
      <c r="F343">
        <v>69</v>
      </c>
      <c r="G343" s="261">
        <v>0.15</v>
      </c>
      <c r="H343">
        <v>40</v>
      </c>
      <c r="I343" s="261">
        <v>0.07</v>
      </c>
      <c r="J343" s="261">
        <v>1.08</v>
      </c>
      <c r="K343" s="261">
        <v>0.95</v>
      </c>
      <c r="L343" s="263">
        <v>8.2</v>
      </c>
      <c r="M343" s="252">
        <v>133</v>
      </c>
      <c r="N343" s="261">
        <v>2.63</v>
      </c>
      <c r="O343" s="263">
        <v>5.4</v>
      </c>
      <c r="P343" s="263">
        <v>5.2</v>
      </c>
      <c r="Q343" s="263">
        <v>5.7</v>
      </c>
    </row>
    <row r="344" spans="1:17" ht="12.75">
      <c r="A344" s="251" t="str">
        <f>HYPERLINK("http://ct.wwsires.com/bull/14HO07782","CELEBRITY")</f>
        <v>CELEBRITY</v>
      </c>
      <c r="B344" t="s">
        <v>643</v>
      </c>
      <c r="C344" t="s">
        <v>644</v>
      </c>
      <c r="D344">
        <v>2314</v>
      </c>
      <c r="E344">
        <v>1031</v>
      </c>
      <c r="F344">
        <v>54</v>
      </c>
      <c r="G344" s="261">
        <v>0.05</v>
      </c>
      <c r="H344">
        <v>35</v>
      </c>
      <c r="I344" s="261">
        <v>0.02</v>
      </c>
      <c r="J344" s="261">
        <v>0.36</v>
      </c>
      <c r="K344" s="261">
        <v>0.74</v>
      </c>
      <c r="L344" s="263">
        <v>7.8</v>
      </c>
      <c r="M344" s="252">
        <v>132</v>
      </c>
      <c r="N344" s="261">
        <v>3</v>
      </c>
      <c r="O344" s="263">
        <v>2.5</v>
      </c>
      <c r="P344" s="263">
        <v>2.2</v>
      </c>
      <c r="Q344" s="263">
        <v>7.1</v>
      </c>
    </row>
    <row r="345" spans="1:17" ht="12.75">
      <c r="A345" s="251" t="str">
        <f>HYPERLINK("http://ct.wwsires.com/bull/7HO13403","KAMINSKY")</f>
        <v>KAMINSKY</v>
      </c>
      <c r="B345" t="s">
        <v>645</v>
      </c>
      <c r="C345" t="s">
        <v>646</v>
      </c>
      <c r="D345">
        <v>2647</v>
      </c>
      <c r="E345">
        <v>979</v>
      </c>
      <c r="F345">
        <v>66</v>
      </c>
      <c r="G345" s="261">
        <v>0.11</v>
      </c>
      <c r="H345">
        <v>41</v>
      </c>
      <c r="I345" s="261">
        <v>0.04</v>
      </c>
      <c r="J345" s="261">
        <v>1.5899999999999999</v>
      </c>
      <c r="K345" s="261">
        <v>1.5899999999999999</v>
      </c>
      <c r="L345" s="263">
        <v>9.6</v>
      </c>
      <c r="M345" s="252">
        <v>132</v>
      </c>
      <c r="N345" s="261">
        <v>2.5300000000000002</v>
      </c>
      <c r="O345" s="263">
        <v>4.3</v>
      </c>
      <c r="P345" s="263">
        <v>4.3</v>
      </c>
      <c r="Q345" s="263">
        <v>8.3</v>
      </c>
    </row>
    <row r="346" spans="1:17" ht="12.75">
      <c r="A346" s="251" t="str">
        <f>HYPERLINK("http://ct.wwsires.com/bull/7HO12797","LEGENDARY")</f>
        <v>LEGENDARY</v>
      </c>
      <c r="B346" t="s">
        <v>647</v>
      </c>
      <c r="C346" t="s">
        <v>648</v>
      </c>
      <c r="D346">
        <v>2661</v>
      </c>
      <c r="E346">
        <v>907</v>
      </c>
      <c r="F346">
        <v>66</v>
      </c>
      <c r="G346" s="261">
        <v>0.12</v>
      </c>
      <c r="H346">
        <v>36</v>
      </c>
      <c r="I346" s="261">
        <v>0.03</v>
      </c>
      <c r="J346" s="261">
        <v>1.83</v>
      </c>
      <c r="K346" s="261">
        <v>1.45</v>
      </c>
      <c r="L346" s="263">
        <v>11.8</v>
      </c>
      <c r="M346" s="252">
        <v>132</v>
      </c>
      <c r="N346" s="261">
        <v>2.65</v>
      </c>
      <c r="O346" s="263">
        <v>4.6</v>
      </c>
      <c r="P346" s="263">
        <v>4.2</v>
      </c>
      <c r="Q346" s="263">
        <v>9.1</v>
      </c>
    </row>
    <row r="347" spans="1:17" ht="12.75">
      <c r="A347" s="251" t="str">
        <f>HYPERLINK("http://ct.wwsires.com/bull/250HO13449","ALL STAR")</f>
        <v>ALL STAR</v>
      </c>
      <c r="B347" t="s">
        <v>649</v>
      </c>
      <c r="C347" t="s">
        <v>650</v>
      </c>
      <c r="D347">
        <v>2649</v>
      </c>
      <c r="E347">
        <v>1400</v>
      </c>
      <c r="F347">
        <v>57</v>
      </c>
      <c r="G347" s="261">
        <v>0.02</v>
      </c>
      <c r="H347">
        <v>50</v>
      </c>
      <c r="I347" s="261">
        <v>0.03</v>
      </c>
      <c r="J347" s="261">
        <v>2.32</v>
      </c>
      <c r="K347" s="261">
        <v>1.9100000000000001</v>
      </c>
      <c r="L347" s="263">
        <v>8.6</v>
      </c>
      <c r="M347" s="252">
        <v>132</v>
      </c>
      <c r="N347" s="261">
        <v>2.5300000000000002</v>
      </c>
      <c r="O347" s="263">
        <v>3</v>
      </c>
      <c r="P347" s="263">
        <v>2.8</v>
      </c>
      <c r="Q347" s="263">
        <v>7.5</v>
      </c>
    </row>
    <row r="348" spans="1:17" ht="12.75">
      <c r="A348" s="251" t="str">
        <f>HYPERLINK("http://ct.wwsires.com/bull/250HO01043","AIKMAN*RC")</f>
        <v>AIKMAN*RC</v>
      </c>
      <c r="B348" t="s">
        <v>651</v>
      </c>
      <c r="C348" t="s">
        <v>652</v>
      </c>
      <c r="D348">
        <v>2291</v>
      </c>
      <c r="E348">
        <v>241</v>
      </c>
      <c r="F348">
        <v>64</v>
      </c>
      <c r="G348" s="261">
        <v>0.21</v>
      </c>
      <c r="H348">
        <v>32</v>
      </c>
      <c r="I348" s="261">
        <v>0.09</v>
      </c>
      <c r="J348" s="261">
        <v>0.9</v>
      </c>
      <c r="K348" s="261">
        <v>1.28</v>
      </c>
      <c r="L348" s="263">
        <v>3.1</v>
      </c>
      <c r="M348" s="252">
        <v>131</v>
      </c>
      <c r="N348" s="261">
        <v>2.77</v>
      </c>
      <c r="O348" s="263">
        <v>0.9</v>
      </c>
      <c r="P348" s="263">
        <v>1.2</v>
      </c>
      <c r="Q348" s="263">
        <v>6.5</v>
      </c>
    </row>
    <row r="349" spans="1:17" ht="12.75">
      <c r="A349" s="251" t="str">
        <f>HYPERLINK("http://ct.wwsires.com/bull/714HO00040","DATTERO")</f>
        <v>DATTERO</v>
      </c>
      <c r="B349" t="s">
        <v>653</v>
      </c>
      <c r="C349" t="s">
        <v>654</v>
      </c>
      <c r="D349">
        <v>2377</v>
      </c>
      <c r="E349">
        <v>981</v>
      </c>
      <c r="F349">
        <v>58</v>
      </c>
      <c r="G349" s="261">
        <v>0.08</v>
      </c>
      <c r="H349">
        <v>33</v>
      </c>
      <c r="I349" s="261">
        <v>0.01</v>
      </c>
      <c r="J349" s="261">
        <v>1.3900000000000001</v>
      </c>
      <c r="K349" s="261">
        <v>1.92</v>
      </c>
      <c r="L349" s="263">
        <v>5.8</v>
      </c>
      <c r="M349" s="252">
        <v>131</v>
      </c>
      <c r="N349" s="261">
        <v>2.9699999999999998</v>
      </c>
      <c r="O349" s="263">
        <v>2.1</v>
      </c>
      <c r="P349" s="263">
        <v>2</v>
      </c>
      <c r="Q349" s="263">
        <v>7.4</v>
      </c>
    </row>
    <row r="350" spans="1:17" ht="12.75">
      <c r="A350" s="251" t="str">
        <f>HYPERLINK("http://ct.wwsires.com/bull/14HO07856","ACCELMATEO")</f>
        <v>ACCELMATEO</v>
      </c>
      <c r="B350" t="s">
        <v>655</v>
      </c>
      <c r="C350" t="s">
        <v>656</v>
      </c>
      <c r="D350">
        <v>2524</v>
      </c>
      <c r="E350">
        <v>1108</v>
      </c>
      <c r="F350">
        <v>55</v>
      </c>
      <c r="G350" s="261">
        <v>0.05</v>
      </c>
      <c r="H350">
        <v>39</v>
      </c>
      <c r="I350" s="261">
        <v>0.02</v>
      </c>
      <c r="J350" s="261">
        <v>1.97</v>
      </c>
      <c r="K350" s="261">
        <v>2.52</v>
      </c>
      <c r="L350" s="263">
        <v>6.5</v>
      </c>
      <c r="M350" s="252">
        <v>130</v>
      </c>
      <c r="N350" s="261">
        <v>2.98</v>
      </c>
      <c r="O350" s="263">
        <v>3.2</v>
      </c>
      <c r="P350" s="263">
        <v>2.7</v>
      </c>
      <c r="Q350" s="263">
        <v>7.2</v>
      </c>
    </row>
    <row r="351" spans="1:17" ht="12.75">
      <c r="A351" s="251" t="str">
        <f>HYPERLINK("http://ct.wwsires.com/bull/7HO12915","TORONTO")</f>
        <v>TORONTO</v>
      </c>
      <c r="B351" t="s">
        <v>657</v>
      </c>
      <c r="C351" t="s">
        <v>658</v>
      </c>
      <c r="D351">
        <v>2640</v>
      </c>
      <c r="E351">
        <v>949</v>
      </c>
      <c r="F351">
        <v>44</v>
      </c>
      <c r="G351" s="261">
        <v>0.03</v>
      </c>
      <c r="H351">
        <v>51</v>
      </c>
      <c r="I351" s="261">
        <v>0.08</v>
      </c>
      <c r="J351" s="261">
        <v>1.52</v>
      </c>
      <c r="K351" s="261">
        <v>1.99</v>
      </c>
      <c r="L351" s="263">
        <v>9.1</v>
      </c>
      <c r="M351" s="252">
        <v>130</v>
      </c>
      <c r="N351" s="261">
        <v>2.68</v>
      </c>
      <c r="O351" s="263">
        <v>4.8</v>
      </c>
      <c r="P351" s="263">
        <v>4.7</v>
      </c>
      <c r="Q351" s="263">
        <v>7</v>
      </c>
    </row>
    <row r="352" spans="1:17" ht="12.75">
      <c r="A352" s="251" t="str">
        <f>HYPERLINK("http://ct.wwsires.com/bull/7HO12436","PAT-RED")</f>
        <v>PAT-RED</v>
      </c>
      <c r="B352" t="s">
        <v>659</v>
      </c>
      <c r="C352" t="s">
        <v>660</v>
      </c>
      <c r="D352">
        <v>2433</v>
      </c>
      <c r="E352">
        <v>1163</v>
      </c>
      <c r="F352">
        <v>55</v>
      </c>
      <c r="G352" s="261">
        <v>0.04</v>
      </c>
      <c r="H352">
        <v>43</v>
      </c>
      <c r="I352" s="261">
        <v>0.03</v>
      </c>
      <c r="J352" s="261">
        <v>1.55</v>
      </c>
      <c r="K352" s="261">
        <v>2.15</v>
      </c>
      <c r="L352" s="263">
        <v>5.8</v>
      </c>
      <c r="M352" s="252">
        <v>130</v>
      </c>
      <c r="N352" s="261">
        <v>2.74</v>
      </c>
      <c r="O352" s="263">
        <v>1</v>
      </c>
      <c r="P352" s="263">
        <v>0.9</v>
      </c>
      <c r="Q352" s="263">
        <v>8.1</v>
      </c>
    </row>
    <row r="353" spans="1:17" ht="12.75">
      <c r="A353" s="251" t="str">
        <f>HYPERLINK("http://ct.wwsires.com/bull/7HO13324","WOODSON")</f>
        <v>WOODSON</v>
      </c>
      <c r="B353" t="s">
        <v>661</v>
      </c>
      <c r="C353" t="s">
        <v>662</v>
      </c>
      <c r="D353">
        <v>2580</v>
      </c>
      <c r="E353">
        <v>1151</v>
      </c>
      <c r="F353">
        <v>62</v>
      </c>
      <c r="G353" s="261">
        <v>0.07</v>
      </c>
      <c r="H353">
        <v>39</v>
      </c>
      <c r="I353" s="261">
        <v>0.02</v>
      </c>
      <c r="J353" s="261">
        <v>1.65</v>
      </c>
      <c r="K353" s="261">
        <v>1.8</v>
      </c>
      <c r="L353" s="263">
        <v>7.4</v>
      </c>
      <c r="M353" s="252">
        <v>129</v>
      </c>
      <c r="N353" s="261">
        <v>2.74</v>
      </c>
      <c r="O353" s="263">
        <v>3.8</v>
      </c>
      <c r="P353" s="263">
        <v>4</v>
      </c>
      <c r="Q353" s="263">
        <v>6.9</v>
      </c>
    </row>
    <row r="354" spans="1:17" ht="12.75">
      <c r="A354" s="251" t="str">
        <f>HYPERLINK("http://ct.wwsires.com/bull/7HO12236","BAYONET")</f>
        <v>BAYONET</v>
      </c>
      <c r="B354" t="s">
        <v>663</v>
      </c>
      <c r="C354" t="s">
        <v>664</v>
      </c>
      <c r="D354">
        <v>2516</v>
      </c>
      <c r="E354">
        <v>1327</v>
      </c>
      <c r="F354">
        <v>52</v>
      </c>
      <c r="G354" s="261">
        <v>0.01</v>
      </c>
      <c r="H354">
        <v>46</v>
      </c>
      <c r="I354" s="261">
        <v>0.02</v>
      </c>
      <c r="J354" s="261">
        <v>1.7</v>
      </c>
      <c r="K354" s="261">
        <v>1.9</v>
      </c>
      <c r="L354" s="263">
        <v>7</v>
      </c>
      <c r="M354" s="252">
        <v>129</v>
      </c>
      <c r="N354" s="261">
        <v>2.96</v>
      </c>
      <c r="O354" s="263">
        <v>3.7</v>
      </c>
      <c r="P354" s="263">
        <v>3.7</v>
      </c>
      <c r="Q354" s="263">
        <v>8.2</v>
      </c>
    </row>
    <row r="355" spans="1:17" ht="12.75">
      <c r="A355" s="251" t="str">
        <f>HYPERLINK("http://ct.wwsires.com/bull/7HO12027","JENNINGS")</f>
        <v>JENNINGS</v>
      </c>
      <c r="B355" t="s">
        <v>665</v>
      </c>
      <c r="C355" t="s">
        <v>175</v>
      </c>
      <c r="D355">
        <v>2355</v>
      </c>
      <c r="E355">
        <v>182</v>
      </c>
      <c r="F355">
        <v>59</v>
      </c>
      <c r="G355" s="261">
        <v>0.19</v>
      </c>
      <c r="H355">
        <v>36</v>
      </c>
      <c r="I355" s="261">
        <v>0.11</v>
      </c>
      <c r="J355" s="261">
        <v>1.35</v>
      </c>
      <c r="K355" s="261">
        <v>1.71</v>
      </c>
      <c r="L355" s="263">
        <v>3.1</v>
      </c>
      <c r="M355" s="252">
        <v>129</v>
      </c>
      <c r="N355" s="261">
        <v>2.86</v>
      </c>
      <c r="O355" s="263">
        <v>1.6</v>
      </c>
      <c r="P355" s="263">
        <v>1.3</v>
      </c>
      <c r="Q355" s="263">
        <v>5.7</v>
      </c>
    </row>
    <row r="356" spans="1:17" ht="12.75">
      <c r="A356" s="251" t="str">
        <f>HYPERLINK("http://ct.wwsires.com/bull/7HO12248","SUPERIOR")</f>
        <v>SUPERIOR</v>
      </c>
      <c r="B356" t="s">
        <v>666</v>
      </c>
      <c r="C356" t="s">
        <v>220</v>
      </c>
      <c r="D356">
        <v>2429</v>
      </c>
      <c r="E356">
        <v>1145</v>
      </c>
      <c r="F356">
        <v>58</v>
      </c>
      <c r="G356" s="261">
        <v>0.06</v>
      </c>
      <c r="H356">
        <v>32</v>
      </c>
      <c r="I356" s="261">
        <v>-0.01</v>
      </c>
      <c r="J356" s="261">
        <v>1.85</v>
      </c>
      <c r="K356" s="261">
        <v>2.5</v>
      </c>
      <c r="L356" s="263">
        <v>6.7</v>
      </c>
      <c r="M356" s="252">
        <v>129</v>
      </c>
      <c r="N356" s="261">
        <v>2.98</v>
      </c>
      <c r="O356" s="263">
        <v>2.1</v>
      </c>
      <c r="P356" s="263">
        <v>1.3</v>
      </c>
      <c r="Q356" s="263">
        <v>6.5</v>
      </c>
    </row>
    <row r="357" spans="1:17" ht="12.75">
      <c r="A357" s="251" t="str">
        <f>HYPERLINK("http://ct.wwsires.com/bull/7HO12723","GAMMA")</f>
        <v>GAMMA</v>
      </c>
      <c r="B357" t="s">
        <v>667</v>
      </c>
      <c r="C357" t="s">
        <v>668</v>
      </c>
      <c r="D357">
        <v>2512</v>
      </c>
      <c r="E357">
        <v>1856</v>
      </c>
      <c r="F357">
        <v>56</v>
      </c>
      <c r="G357" s="261">
        <v>-0.05</v>
      </c>
      <c r="H357">
        <v>58</v>
      </c>
      <c r="I357" s="261">
        <v>0.01</v>
      </c>
      <c r="J357" s="261">
        <v>3.07</v>
      </c>
      <c r="K357" s="261">
        <v>2.87</v>
      </c>
      <c r="L357" s="263">
        <v>4.8</v>
      </c>
      <c r="M357" s="252">
        <v>128</v>
      </c>
      <c r="N357" s="261">
        <v>3.05</v>
      </c>
      <c r="O357" s="263">
        <v>-0.1</v>
      </c>
      <c r="P357" s="263">
        <v>-0.4</v>
      </c>
      <c r="Q357" s="263">
        <v>9</v>
      </c>
    </row>
    <row r="358" spans="1:17" ht="12.75">
      <c r="A358" s="251" t="str">
        <f>HYPERLINK("http://ct.wwsires.com/bull/7HO13447","AMMO")</f>
        <v>AMMO</v>
      </c>
      <c r="B358" t="s">
        <v>669</v>
      </c>
      <c r="C358" t="s">
        <v>670</v>
      </c>
      <c r="D358">
        <v>2509</v>
      </c>
      <c r="E358">
        <v>1335</v>
      </c>
      <c r="F358">
        <v>55</v>
      </c>
      <c r="G358" s="261">
        <v>0.02</v>
      </c>
      <c r="H358">
        <v>47</v>
      </c>
      <c r="I358" s="261">
        <v>0.02</v>
      </c>
      <c r="J358" s="261">
        <v>1.67</v>
      </c>
      <c r="K358" s="261">
        <v>1.83</v>
      </c>
      <c r="L358" s="263">
        <v>7.8</v>
      </c>
      <c r="M358" s="252">
        <v>128</v>
      </c>
      <c r="N358" s="261">
        <v>2.77</v>
      </c>
      <c r="O358" s="263">
        <v>1.5</v>
      </c>
      <c r="P358" s="263">
        <v>1.2</v>
      </c>
      <c r="Q358" s="263">
        <v>7</v>
      </c>
    </row>
    <row r="359" spans="1:17" ht="12.75">
      <c r="A359" s="251" t="str">
        <f>HYPERLINK("http://ct.wwsires.com/bull/7HO12920","MAXBO-RED")</f>
        <v>MAXBO-RED</v>
      </c>
      <c r="B359" t="s">
        <v>671</v>
      </c>
      <c r="C359" t="s">
        <v>672</v>
      </c>
      <c r="D359">
        <v>2377</v>
      </c>
      <c r="E359">
        <v>1368</v>
      </c>
      <c r="F359">
        <v>58</v>
      </c>
      <c r="G359" s="261">
        <v>0.03</v>
      </c>
      <c r="H359">
        <v>39</v>
      </c>
      <c r="I359" s="261">
        <v>0</v>
      </c>
      <c r="J359" s="261">
        <v>1.54</v>
      </c>
      <c r="K359" s="261">
        <v>2.05</v>
      </c>
      <c r="L359" s="263">
        <v>4.8</v>
      </c>
      <c r="M359" s="252">
        <v>128</v>
      </c>
      <c r="N359" s="261">
        <v>2.84</v>
      </c>
      <c r="O359" s="263">
        <v>0.1</v>
      </c>
      <c r="P359" s="263">
        <v>0.2</v>
      </c>
      <c r="Q359" s="263">
        <v>5.6</v>
      </c>
    </row>
    <row r="360" spans="1:17" ht="12.75">
      <c r="A360" s="251" t="str">
        <f>HYPERLINK("http://ct.wwsires.com/bull/14HO07847","SCANDAL")</f>
        <v>SCANDAL</v>
      </c>
      <c r="B360" t="s">
        <v>673</v>
      </c>
      <c r="C360" t="s">
        <v>674</v>
      </c>
      <c r="D360">
        <v>2459</v>
      </c>
      <c r="E360">
        <v>873</v>
      </c>
      <c r="F360">
        <v>64</v>
      </c>
      <c r="G360" s="261">
        <v>0.11</v>
      </c>
      <c r="H360">
        <v>40</v>
      </c>
      <c r="I360" s="261">
        <v>0.05</v>
      </c>
      <c r="J360" s="261">
        <v>1.63</v>
      </c>
      <c r="K360" s="261">
        <v>1.4</v>
      </c>
      <c r="L360" s="263">
        <v>6.6</v>
      </c>
      <c r="M360" s="252">
        <v>128</v>
      </c>
      <c r="N360" s="261">
        <v>2.77</v>
      </c>
      <c r="O360" s="263">
        <v>1.8</v>
      </c>
      <c r="P360" s="263">
        <v>1.4</v>
      </c>
      <c r="Q360" s="263">
        <v>7.7</v>
      </c>
    </row>
    <row r="361" spans="1:17" ht="12.75">
      <c r="A361" s="251" t="str">
        <f>HYPERLINK("http://ct.wwsires.com/bull/250HO12213","MICKELSON")</f>
        <v>MICKELSON</v>
      </c>
      <c r="B361" t="s">
        <v>675</v>
      </c>
      <c r="C361" t="s">
        <v>478</v>
      </c>
      <c r="D361">
        <v>2440</v>
      </c>
      <c r="E361">
        <v>1350</v>
      </c>
      <c r="F361">
        <v>60</v>
      </c>
      <c r="G361" s="261">
        <v>0.03</v>
      </c>
      <c r="H361">
        <v>50</v>
      </c>
      <c r="I361" s="261">
        <v>0.03</v>
      </c>
      <c r="J361" s="261">
        <v>1.92</v>
      </c>
      <c r="K361" s="261">
        <v>1.4</v>
      </c>
      <c r="L361" s="263">
        <v>6.3</v>
      </c>
      <c r="M361" s="252">
        <v>128</v>
      </c>
      <c r="N361" s="261">
        <v>2.66</v>
      </c>
      <c r="O361" s="263">
        <v>0.6</v>
      </c>
      <c r="P361" s="263">
        <v>0.4</v>
      </c>
      <c r="Q361" s="263">
        <v>8.3</v>
      </c>
    </row>
    <row r="362" spans="1:17" ht="12.75">
      <c r="A362" s="251" t="str">
        <f>HYPERLINK("http://ct.wwsires.com/bull/7HO13755","BROMLEY")</f>
        <v>BROMLEY</v>
      </c>
      <c r="B362" t="s">
        <v>676</v>
      </c>
      <c r="C362" t="s">
        <v>677</v>
      </c>
      <c r="D362">
        <v>2754</v>
      </c>
      <c r="E362">
        <v>1043</v>
      </c>
      <c r="F362">
        <v>44</v>
      </c>
      <c r="G362" s="261">
        <v>0.02</v>
      </c>
      <c r="H362">
        <v>49</v>
      </c>
      <c r="I362" s="261">
        <v>0.07</v>
      </c>
      <c r="J362" s="261">
        <v>2.08</v>
      </c>
      <c r="K362" s="261">
        <v>3.2800000000000002</v>
      </c>
      <c r="L362" s="263">
        <v>8.9</v>
      </c>
      <c r="M362" s="252">
        <v>127</v>
      </c>
      <c r="N362" s="261">
        <v>2.56</v>
      </c>
      <c r="O362" s="263">
        <v>4.6</v>
      </c>
      <c r="P362" s="263">
        <v>4.3</v>
      </c>
      <c r="Q362" s="263">
        <v>8.8</v>
      </c>
    </row>
    <row r="363" spans="1:17" ht="12.75">
      <c r="A363" s="251" t="str">
        <f>HYPERLINK("http://ct.wwsires.com/bull/14HO06429","MAN-O-MAN2")</f>
        <v>MAN-O-MAN2</v>
      </c>
      <c r="B363" t="s">
        <v>678</v>
      </c>
      <c r="C363" t="s">
        <v>679</v>
      </c>
      <c r="D363">
        <v>2096</v>
      </c>
      <c r="E363">
        <v>510</v>
      </c>
      <c r="F363">
        <v>42</v>
      </c>
      <c r="G363" s="261">
        <v>0.08</v>
      </c>
      <c r="H363">
        <v>44</v>
      </c>
      <c r="I363" s="261">
        <v>0.1</v>
      </c>
      <c r="J363" s="261">
        <v>0.26</v>
      </c>
      <c r="K363" s="261">
        <v>0.36</v>
      </c>
      <c r="L363" s="263">
        <v>-0.4</v>
      </c>
      <c r="M363" s="252">
        <v>127</v>
      </c>
      <c r="N363" s="261">
        <v>3</v>
      </c>
      <c r="O363" s="263">
        <v>1.7</v>
      </c>
      <c r="P363" s="263">
        <v>1.7</v>
      </c>
      <c r="Q363" s="263">
        <v>4.8</v>
      </c>
    </row>
    <row r="364" spans="1:17" ht="12.75">
      <c r="A364" s="251" t="str">
        <f>HYPERLINK("http://ct.wwsires.com/bull/7HO12982","BARCUDA-PP-RED")</f>
        <v>BARCUDA-PP-RED</v>
      </c>
      <c r="B364" t="s">
        <v>680</v>
      </c>
      <c r="C364" t="s">
        <v>681</v>
      </c>
      <c r="D364">
        <v>2367</v>
      </c>
      <c r="E364">
        <v>1431</v>
      </c>
      <c r="F364">
        <v>43</v>
      </c>
      <c r="G364" s="261">
        <v>-0.04</v>
      </c>
      <c r="H364">
        <v>48</v>
      </c>
      <c r="I364" s="261">
        <v>0.02</v>
      </c>
      <c r="J364" s="261">
        <v>1.4</v>
      </c>
      <c r="K364" s="261">
        <v>1.17</v>
      </c>
      <c r="L364" s="263">
        <v>6.9</v>
      </c>
      <c r="M364" s="252">
        <v>127</v>
      </c>
      <c r="N364" s="261">
        <v>2.7</v>
      </c>
      <c r="O364" s="263">
        <v>1.2</v>
      </c>
      <c r="P364" s="263">
        <v>1.1</v>
      </c>
      <c r="Q364" s="263">
        <v>9</v>
      </c>
    </row>
    <row r="365" spans="1:17" ht="12.75">
      <c r="A365" s="251" t="str">
        <f>HYPERLINK("http://ct.wwsires.com/bull/14HO07789","HARRISON")</f>
        <v>HARRISON</v>
      </c>
      <c r="B365" t="s">
        <v>682</v>
      </c>
      <c r="C365" t="s">
        <v>683</v>
      </c>
      <c r="D365">
        <v>2584</v>
      </c>
      <c r="E365">
        <v>-279</v>
      </c>
      <c r="F365">
        <v>63</v>
      </c>
      <c r="G365" s="261">
        <v>0.27</v>
      </c>
      <c r="H365">
        <v>28</v>
      </c>
      <c r="I365" s="261">
        <v>0.13</v>
      </c>
      <c r="J365" s="261">
        <v>2.33</v>
      </c>
      <c r="K365" s="261">
        <v>1.62</v>
      </c>
      <c r="L365" s="263">
        <v>8.2</v>
      </c>
      <c r="M365" s="252">
        <v>127</v>
      </c>
      <c r="N365" s="261">
        <v>2.75</v>
      </c>
      <c r="O365" s="263">
        <v>4</v>
      </c>
      <c r="P365" s="263">
        <v>4.1</v>
      </c>
      <c r="Q365" s="263">
        <v>6.3</v>
      </c>
    </row>
    <row r="366" spans="1:17" ht="12.75">
      <c r="A366" s="251" t="str">
        <f>HYPERLINK("http://ct.wwsires.com/bull/14HO07573","JOAB")</f>
        <v>JOAB</v>
      </c>
      <c r="B366" t="s">
        <v>684</v>
      </c>
      <c r="C366" t="s">
        <v>685</v>
      </c>
      <c r="D366">
        <v>2515</v>
      </c>
      <c r="E366">
        <v>1447</v>
      </c>
      <c r="F366">
        <v>63</v>
      </c>
      <c r="G366" s="261">
        <v>0.03</v>
      </c>
      <c r="H366">
        <v>43</v>
      </c>
      <c r="I366" s="261">
        <v>0</v>
      </c>
      <c r="J366" s="261">
        <v>1.06</v>
      </c>
      <c r="K366" s="261">
        <v>0.85</v>
      </c>
      <c r="L366" s="263">
        <v>8.3</v>
      </c>
      <c r="M366" s="252">
        <v>127</v>
      </c>
      <c r="N366" s="261">
        <v>2.74</v>
      </c>
      <c r="O366" s="263">
        <v>3.3</v>
      </c>
      <c r="P366" s="263">
        <v>3.5</v>
      </c>
      <c r="Q366" s="263">
        <v>7.5</v>
      </c>
    </row>
    <row r="367" spans="1:17" ht="12.75">
      <c r="A367" s="251" t="str">
        <f>HYPERLINK("http://ct.wwsires.com/bull/7HO13093","DAMARIS")</f>
        <v>DAMARIS</v>
      </c>
      <c r="B367" t="s">
        <v>686</v>
      </c>
      <c r="C367" t="s">
        <v>687</v>
      </c>
      <c r="D367">
        <v>2487</v>
      </c>
      <c r="E367">
        <v>1255</v>
      </c>
      <c r="F367">
        <v>43</v>
      </c>
      <c r="G367" s="261">
        <v>-0.01</v>
      </c>
      <c r="H367">
        <v>45</v>
      </c>
      <c r="I367" s="261">
        <v>0.03</v>
      </c>
      <c r="J367" s="261">
        <v>1.5899999999999999</v>
      </c>
      <c r="K367" s="261">
        <v>1.45</v>
      </c>
      <c r="L367" s="263">
        <v>9.6</v>
      </c>
      <c r="M367" s="252">
        <v>126</v>
      </c>
      <c r="N367" s="261">
        <v>2.9</v>
      </c>
      <c r="O367" s="263">
        <v>3.1</v>
      </c>
      <c r="P367" s="263">
        <v>2.3</v>
      </c>
      <c r="Q367" s="263">
        <v>6.9</v>
      </c>
    </row>
    <row r="368" spans="1:17" ht="12.75">
      <c r="A368" s="251" t="str">
        <f>HYPERLINK("http://ct.wwsires.com/bull/7HO13257","HAMLET")</f>
        <v>HAMLET</v>
      </c>
      <c r="B368" t="s">
        <v>688</v>
      </c>
      <c r="C368" t="s">
        <v>689</v>
      </c>
      <c r="D368">
        <v>2509</v>
      </c>
      <c r="E368">
        <v>1583</v>
      </c>
      <c r="F368">
        <v>67</v>
      </c>
      <c r="G368" s="261">
        <v>0.03</v>
      </c>
      <c r="H368">
        <v>41</v>
      </c>
      <c r="I368" s="261">
        <v>-0.02</v>
      </c>
      <c r="J368" s="261">
        <v>1.3599999999999999</v>
      </c>
      <c r="K368" s="261">
        <v>1.8900000000000001</v>
      </c>
      <c r="L368" s="263">
        <v>7.2</v>
      </c>
      <c r="M368" s="252">
        <v>126</v>
      </c>
      <c r="N368" s="261">
        <v>2.89</v>
      </c>
      <c r="O368" s="263">
        <v>2.9</v>
      </c>
      <c r="P368" s="263">
        <v>2.8</v>
      </c>
      <c r="Q368" s="263">
        <v>6.6</v>
      </c>
    </row>
    <row r="369" spans="1:17" ht="12.75">
      <c r="A369" s="251" t="str">
        <f>HYPERLINK("http://ct.wwsires.com/bull/7HO13551","AMAZING")</f>
        <v>AMAZING</v>
      </c>
      <c r="B369" t="s">
        <v>690</v>
      </c>
      <c r="C369" t="s">
        <v>691</v>
      </c>
      <c r="D369">
        <v>2651</v>
      </c>
      <c r="E369">
        <v>1462</v>
      </c>
      <c r="F369">
        <v>49</v>
      </c>
      <c r="G369" s="261">
        <v>-0.02</v>
      </c>
      <c r="H369">
        <v>50</v>
      </c>
      <c r="I369" s="261">
        <v>0.03</v>
      </c>
      <c r="J369" s="261">
        <v>1.9100000000000001</v>
      </c>
      <c r="K369" s="261">
        <v>2.63</v>
      </c>
      <c r="L369" s="263">
        <v>9.2</v>
      </c>
      <c r="M369" s="252">
        <v>125</v>
      </c>
      <c r="N369" s="261">
        <v>2.63</v>
      </c>
      <c r="O369" s="263">
        <v>3.1</v>
      </c>
      <c r="P369" s="263">
        <v>3</v>
      </c>
      <c r="Q369" s="263">
        <v>6</v>
      </c>
    </row>
    <row r="370" spans="1:17" ht="12.75">
      <c r="A370" s="251" t="str">
        <f>HYPERLINK("http://ct.wwsires.com/bull/7HO13022","TATUM")</f>
        <v>TATUM</v>
      </c>
      <c r="B370" t="s">
        <v>692</v>
      </c>
      <c r="C370" t="s">
        <v>693</v>
      </c>
      <c r="D370">
        <v>2469</v>
      </c>
      <c r="E370">
        <v>1339</v>
      </c>
      <c r="F370">
        <v>52</v>
      </c>
      <c r="G370" s="261">
        <v>0.01</v>
      </c>
      <c r="H370">
        <v>43</v>
      </c>
      <c r="I370" s="261">
        <v>0.01</v>
      </c>
      <c r="J370" s="261">
        <v>2.5</v>
      </c>
      <c r="K370" s="261">
        <v>2.05</v>
      </c>
      <c r="L370" s="263">
        <v>5.3</v>
      </c>
      <c r="M370" s="252">
        <v>125</v>
      </c>
      <c r="N370" s="261">
        <v>2.8</v>
      </c>
      <c r="O370" s="263">
        <v>2.6</v>
      </c>
      <c r="P370" s="263">
        <v>2.6</v>
      </c>
      <c r="Q370" s="263">
        <v>7.4</v>
      </c>
    </row>
    <row r="371" spans="1:17" ht="12.75">
      <c r="A371" s="251" t="str">
        <f>HYPERLINK("http://ct.wwsires.com/bull/14HO07709","CHAGRIN")</f>
        <v>CHAGRIN</v>
      </c>
      <c r="B371" t="s">
        <v>694</v>
      </c>
      <c r="C371" t="s">
        <v>695</v>
      </c>
      <c r="D371">
        <v>2427</v>
      </c>
      <c r="E371">
        <v>1549</v>
      </c>
      <c r="F371">
        <v>70</v>
      </c>
      <c r="G371" s="261">
        <v>0.04</v>
      </c>
      <c r="H371">
        <v>40</v>
      </c>
      <c r="I371" s="261">
        <v>-0.02</v>
      </c>
      <c r="J371" s="261">
        <v>1.44</v>
      </c>
      <c r="K371" s="261">
        <v>1.11</v>
      </c>
      <c r="L371" s="263">
        <v>4.5</v>
      </c>
      <c r="M371" s="252">
        <v>125</v>
      </c>
      <c r="N371" s="261">
        <v>2.7800000000000002</v>
      </c>
      <c r="O371" s="263">
        <v>2.2</v>
      </c>
      <c r="P371" s="263">
        <v>2</v>
      </c>
      <c r="Q371" s="263">
        <v>5.8</v>
      </c>
    </row>
    <row r="372" spans="1:17" ht="12.75">
      <c r="A372" s="251" t="str">
        <f>HYPERLINK("http://ct.wwsires.com/bull/7HO12803","MR MAX")</f>
        <v>MR MAX</v>
      </c>
      <c r="B372" t="s">
        <v>696</v>
      </c>
      <c r="C372" t="s">
        <v>697</v>
      </c>
      <c r="D372">
        <v>2623</v>
      </c>
      <c r="E372">
        <v>1823</v>
      </c>
      <c r="F372">
        <v>54</v>
      </c>
      <c r="G372" s="261">
        <v>-0.05</v>
      </c>
      <c r="H372">
        <v>57</v>
      </c>
      <c r="I372" s="261">
        <v>0.01</v>
      </c>
      <c r="J372" s="261">
        <v>2.03</v>
      </c>
      <c r="K372" s="261">
        <v>1.55</v>
      </c>
      <c r="L372" s="263">
        <v>9.2</v>
      </c>
      <c r="M372" s="252">
        <v>125</v>
      </c>
      <c r="N372" s="261">
        <v>2.63</v>
      </c>
      <c r="O372" s="263">
        <v>2.4</v>
      </c>
      <c r="P372" s="263">
        <v>2.6</v>
      </c>
      <c r="Q372" s="263">
        <v>6</v>
      </c>
    </row>
    <row r="373" spans="1:17" ht="12.75">
      <c r="A373" s="251" t="str">
        <f>HYPERLINK("http://ct.wwsires.com/bull/7HO11617","DIAMOND")</f>
        <v>DIAMOND</v>
      </c>
      <c r="B373" t="s">
        <v>698</v>
      </c>
      <c r="C373" t="s">
        <v>699</v>
      </c>
      <c r="D373">
        <v>2326</v>
      </c>
      <c r="E373">
        <v>1411</v>
      </c>
      <c r="F373">
        <v>52</v>
      </c>
      <c r="G373" s="261">
        <v>0</v>
      </c>
      <c r="H373">
        <v>51</v>
      </c>
      <c r="I373" s="261">
        <v>0.03</v>
      </c>
      <c r="J373" s="261">
        <v>1.35</v>
      </c>
      <c r="K373" s="261">
        <v>0.68</v>
      </c>
      <c r="L373" s="263">
        <v>3.7</v>
      </c>
      <c r="M373" s="252">
        <v>124</v>
      </c>
      <c r="N373" s="261">
        <v>2.52</v>
      </c>
      <c r="O373" s="263">
        <v>0.3</v>
      </c>
      <c r="P373" s="263">
        <v>0.1</v>
      </c>
      <c r="Q373" s="263">
        <v>6.6</v>
      </c>
    </row>
    <row r="374" spans="1:17" ht="12.75">
      <c r="A374" s="251" t="str">
        <f>HYPERLINK("http://ct.wwsires.com/bull/714HO00046","MALCOLM")</f>
        <v>MALCOLM</v>
      </c>
      <c r="B374" t="s">
        <v>700</v>
      </c>
      <c r="C374" t="s">
        <v>701</v>
      </c>
      <c r="D374">
        <v>2458</v>
      </c>
      <c r="E374">
        <v>1782</v>
      </c>
      <c r="F374">
        <v>50</v>
      </c>
      <c r="G374" s="261">
        <v>-0.06</v>
      </c>
      <c r="H374">
        <v>48</v>
      </c>
      <c r="I374" s="261">
        <v>-0.02</v>
      </c>
      <c r="J374" s="261">
        <v>1.54</v>
      </c>
      <c r="K374" s="261">
        <v>1.75</v>
      </c>
      <c r="L374" s="263">
        <v>6.2</v>
      </c>
      <c r="M374" s="252">
        <v>124</v>
      </c>
      <c r="N374" s="261">
        <v>2.85</v>
      </c>
      <c r="O374" s="263">
        <v>2.3</v>
      </c>
      <c r="P374" s="263">
        <v>2.5</v>
      </c>
      <c r="Q374" s="263">
        <v>5.9</v>
      </c>
    </row>
    <row r="375" spans="1:17" ht="12.75">
      <c r="A375" s="251" t="str">
        <f>HYPERLINK("http://ct.wwsires.com/bull/714HO00039","GALLO")</f>
        <v>GALLO</v>
      </c>
      <c r="B375" t="s">
        <v>702</v>
      </c>
      <c r="C375" t="s">
        <v>703</v>
      </c>
      <c r="D375">
        <v>2301</v>
      </c>
      <c r="E375">
        <v>996</v>
      </c>
      <c r="F375">
        <v>57</v>
      </c>
      <c r="G375" s="261">
        <v>0.07</v>
      </c>
      <c r="H375">
        <v>38</v>
      </c>
      <c r="I375" s="261">
        <v>0.03</v>
      </c>
      <c r="J375" s="261">
        <v>1.01</v>
      </c>
      <c r="K375" s="261">
        <v>1.26</v>
      </c>
      <c r="L375" s="263">
        <v>4.6</v>
      </c>
      <c r="M375" s="252">
        <v>124</v>
      </c>
      <c r="N375" s="261">
        <v>2.73</v>
      </c>
      <c r="O375" s="263">
        <v>1.1</v>
      </c>
      <c r="P375" s="263">
        <v>1.1</v>
      </c>
      <c r="Q375" s="263">
        <v>6.8</v>
      </c>
    </row>
    <row r="376" spans="1:17" ht="12.75">
      <c r="A376" s="251" t="str">
        <f>HYPERLINK("http://ct.wwsires.com/bull/14HO07767","HENLEY")</f>
        <v>HENLEY</v>
      </c>
      <c r="B376" t="s">
        <v>704</v>
      </c>
      <c r="C376" t="s">
        <v>705</v>
      </c>
      <c r="D376">
        <v>2558</v>
      </c>
      <c r="E376">
        <v>1568</v>
      </c>
      <c r="F376">
        <v>60</v>
      </c>
      <c r="G376" s="261">
        <v>0.01</v>
      </c>
      <c r="H376">
        <v>49</v>
      </c>
      <c r="I376" s="261">
        <v>0.01</v>
      </c>
      <c r="J376" s="261">
        <v>2.52</v>
      </c>
      <c r="K376" s="261">
        <v>2.27</v>
      </c>
      <c r="L376" s="263">
        <v>5.7</v>
      </c>
      <c r="M376" s="252">
        <v>124</v>
      </c>
      <c r="N376" s="261">
        <v>2.85</v>
      </c>
      <c r="O376" s="263">
        <v>2.1</v>
      </c>
      <c r="P376" s="263">
        <v>2.5</v>
      </c>
      <c r="Q376" s="263">
        <v>5.7</v>
      </c>
    </row>
    <row r="377" spans="1:17" ht="12.75">
      <c r="A377" s="251" t="str">
        <f>HYPERLINK("http://ct.wwsires.com/bull/7HO13038","MARQUEL")</f>
        <v>MARQUEL</v>
      </c>
      <c r="B377" t="s">
        <v>706</v>
      </c>
      <c r="C377" t="s">
        <v>478</v>
      </c>
      <c r="D377">
        <v>2480</v>
      </c>
      <c r="E377">
        <v>1563</v>
      </c>
      <c r="F377">
        <v>40</v>
      </c>
      <c r="G377" s="261">
        <v>-0.07</v>
      </c>
      <c r="H377">
        <v>53</v>
      </c>
      <c r="I377" s="261">
        <v>0.02</v>
      </c>
      <c r="J377" s="261">
        <v>1.35</v>
      </c>
      <c r="K377" s="261">
        <v>1.75</v>
      </c>
      <c r="L377" s="263">
        <v>8.1</v>
      </c>
      <c r="M377" s="252">
        <v>124</v>
      </c>
      <c r="N377" s="261">
        <v>3.12</v>
      </c>
      <c r="O377" s="263">
        <v>3.1</v>
      </c>
      <c r="P377" s="263">
        <v>3</v>
      </c>
      <c r="Q377" s="263">
        <v>6.2</v>
      </c>
    </row>
    <row r="378" spans="1:17" ht="12.75">
      <c r="A378" s="251" t="str">
        <f>HYPERLINK("http://ct.wwsires.com/bull/14HO07686","CLOSE UP")</f>
        <v>CLOSE UP</v>
      </c>
      <c r="B378" t="s">
        <v>707</v>
      </c>
      <c r="C378" t="s">
        <v>708</v>
      </c>
      <c r="D378">
        <v>2442</v>
      </c>
      <c r="E378">
        <v>787</v>
      </c>
      <c r="F378">
        <v>57</v>
      </c>
      <c r="G378" s="261">
        <v>0.1</v>
      </c>
      <c r="H378">
        <v>39</v>
      </c>
      <c r="I378" s="261">
        <v>0.05</v>
      </c>
      <c r="J378" s="261">
        <v>1.72</v>
      </c>
      <c r="K378" s="261">
        <v>1.78</v>
      </c>
      <c r="L378" s="263">
        <v>4.8</v>
      </c>
      <c r="M378" s="252">
        <v>124</v>
      </c>
      <c r="N378" s="261">
        <v>2.68</v>
      </c>
      <c r="O378" s="263">
        <v>2</v>
      </c>
      <c r="P378" s="263">
        <v>2.3</v>
      </c>
      <c r="Q378" s="263">
        <v>6</v>
      </c>
    </row>
    <row r="379" spans="1:17" ht="12.75">
      <c r="A379" s="251" t="str">
        <f>HYPERLINK("http://ct.wwsires.com/bull/250HO13382","FEDERAL")</f>
        <v>FEDERAL</v>
      </c>
      <c r="B379" t="s">
        <v>709</v>
      </c>
      <c r="C379" t="s">
        <v>710</v>
      </c>
      <c r="D379">
        <v>2549</v>
      </c>
      <c r="E379">
        <v>336</v>
      </c>
      <c r="F379">
        <v>58</v>
      </c>
      <c r="G379" s="261">
        <v>0.17</v>
      </c>
      <c r="H379">
        <v>34</v>
      </c>
      <c r="I379" s="261">
        <v>0.09</v>
      </c>
      <c r="J379" s="261">
        <v>2.1</v>
      </c>
      <c r="K379" s="261">
        <v>2.41</v>
      </c>
      <c r="L379" s="263">
        <v>8</v>
      </c>
      <c r="M379" s="252">
        <v>124</v>
      </c>
      <c r="N379" s="261">
        <v>2.88</v>
      </c>
      <c r="O379" s="263">
        <v>3.1</v>
      </c>
      <c r="P379" s="263">
        <v>3.2</v>
      </c>
      <c r="Q379" s="263">
        <v>6.6</v>
      </c>
    </row>
    <row r="380" spans="1:17" ht="12.75">
      <c r="A380" s="251" t="str">
        <f>HYPERLINK("http://ct.wwsires.com/bull/7HO13921","ZEKE-P-RED")</f>
        <v>ZEKE-P-RED</v>
      </c>
      <c r="B380" t="s">
        <v>711</v>
      </c>
      <c r="C380" t="s">
        <v>712</v>
      </c>
      <c r="D380">
        <v>2386</v>
      </c>
      <c r="E380">
        <v>2254</v>
      </c>
      <c r="F380">
        <v>47</v>
      </c>
      <c r="G380" s="261">
        <v>-0.13</v>
      </c>
      <c r="H380">
        <v>56</v>
      </c>
      <c r="I380" s="261">
        <v>-0.03</v>
      </c>
      <c r="J380" s="261">
        <v>2.04</v>
      </c>
      <c r="K380" s="261">
        <v>2.02</v>
      </c>
      <c r="L380" s="263">
        <v>5.1</v>
      </c>
      <c r="M380" s="252">
        <v>123</v>
      </c>
      <c r="N380" s="261">
        <v>3.09</v>
      </c>
      <c r="O380" s="263">
        <v>0.4</v>
      </c>
      <c r="P380" s="263">
        <v>0</v>
      </c>
      <c r="Q380" s="263">
        <v>7.5</v>
      </c>
    </row>
    <row r="381" spans="1:17" ht="12.75">
      <c r="A381" s="251" t="str">
        <f>HYPERLINK("http://ct.wwsires.com/bull/7HO12877","SOLAR PP*RC")</f>
        <v>SOLAR PP*RC</v>
      </c>
      <c r="B381" t="s">
        <v>713</v>
      </c>
      <c r="C381" t="s">
        <v>714</v>
      </c>
      <c r="D381">
        <v>2240</v>
      </c>
      <c r="E381">
        <v>853</v>
      </c>
      <c r="F381">
        <v>53</v>
      </c>
      <c r="G381" s="261">
        <v>0.08</v>
      </c>
      <c r="H381">
        <v>44</v>
      </c>
      <c r="I381" s="261">
        <v>0.06</v>
      </c>
      <c r="J381" s="261">
        <v>1.42</v>
      </c>
      <c r="K381" s="261">
        <v>1.1400000000000001</v>
      </c>
      <c r="L381" s="263">
        <v>2.3</v>
      </c>
      <c r="M381" s="252">
        <v>123</v>
      </c>
      <c r="N381" s="261">
        <v>3.1</v>
      </c>
      <c r="O381" s="263">
        <v>1.5</v>
      </c>
      <c r="P381" s="263">
        <v>1.7</v>
      </c>
      <c r="Q381" s="263">
        <v>6.8</v>
      </c>
    </row>
    <row r="382" spans="1:17" ht="12.75">
      <c r="A382" s="251" t="str">
        <f>HYPERLINK("http://ct.wwsires.com/bull/14HO07806","QUAMBO")</f>
        <v>QUAMBO</v>
      </c>
      <c r="B382" t="s">
        <v>715</v>
      </c>
      <c r="C382" t="s">
        <v>372</v>
      </c>
      <c r="D382">
        <v>2512</v>
      </c>
      <c r="E382">
        <v>1276</v>
      </c>
      <c r="F382">
        <v>60</v>
      </c>
      <c r="G382" s="261">
        <v>0.05</v>
      </c>
      <c r="H382">
        <v>41</v>
      </c>
      <c r="I382" s="261">
        <v>0.01</v>
      </c>
      <c r="J382" s="261">
        <v>1.56</v>
      </c>
      <c r="K382" s="261">
        <v>1.58</v>
      </c>
      <c r="L382" s="263">
        <v>7.5</v>
      </c>
      <c r="M382" s="252">
        <v>123</v>
      </c>
      <c r="N382" s="261">
        <v>2.76</v>
      </c>
      <c r="O382" s="263">
        <v>2.7</v>
      </c>
      <c r="P382" s="263">
        <v>2.7</v>
      </c>
      <c r="Q382" s="263">
        <v>6</v>
      </c>
    </row>
    <row r="383" spans="1:17" ht="12.75">
      <c r="A383" s="251" t="str">
        <f>HYPERLINK("http://ct.wwsires.com/bull/7HO08081","PLANET")</f>
        <v>PLANET</v>
      </c>
      <c r="B383" t="s">
        <v>716</v>
      </c>
      <c r="C383" t="s">
        <v>717</v>
      </c>
      <c r="D383">
        <v>2074</v>
      </c>
      <c r="E383">
        <v>1525</v>
      </c>
      <c r="F383">
        <v>37</v>
      </c>
      <c r="G383" s="261">
        <v>-0.07</v>
      </c>
      <c r="H383">
        <v>44</v>
      </c>
      <c r="I383" s="261">
        <v>-0.01</v>
      </c>
      <c r="J383" s="261">
        <v>0.45</v>
      </c>
      <c r="K383" s="261">
        <v>0.58</v>
      </c>
      <c r="L383" s="263">
        <v>4.6</v>
      </c>
      <c r="M383" s="252">
        <v>123</v>
      </c>
      <c r="N383" s="261">
        <v>3.05</v>
      </c>
      <c r="O383" s="263">
        <v>-0.5</v>
      </c>
      <c r="P383" s="263">
        <v>-1.2</v>
      </c>
      <c r="Q383" s="263">
        <v>6.9</v>
      </c>
    </row>
    <row r="384" spans="1:17" ht="12.75">
      <c r="A384" s="251" t="str">
        <f>HYPERLINK("http://ct.wwsires.com/bull/7HO13065","MACHETE")</f>
        <v>MACHETE</v>
      </c>
      <c r="B384" t="s">
        <v>718</v>
      </c>
      <c r="C384" t="s">
        <v>719</v>
      </c>
      <c r="D384">
        <v>2455</v>
      </c>
      <c r="E384">
        <v>1333</v>
      </c>
      <c r="F384">
        <v>59</v>
      </c>
      <c r="G384" s="261">
        <v>0.03</v>
      </c>
      <c r="H384">
        <v>43</v>
      </c>
      <c r="I384" s="261">
        <v>0.01</v>
      </c>
      <c r="J384" s="261">
        <v>0.95</v>
      </c>
      <c r="K384" s="261">
        <v>0.73</v>
      </c>
      <c r="L384" s="263">
        <v>6.2</v>
      </c>
      <c r="M384" s="252">
        <v>123</v>
      </c>
      <c r="N384" s="261">
        <v>2.7</v>
      </c>
      <c r="O384" s="263">
        <v>3.8</v>
      </c>
      <c r="P384" s="263">
        <v>3.3</v>
      </c>
      <c r="Q384" s="263">
        <v>8.5</v>
      </c>
    </row>
    <row r="385" spans="1:17" ht="12.75">
      <c r="A385" s="251" t="str">
        <f>HYPERLINK("http://ct.wwsires.com/bull/7HO12708","LOYOLA-P*RC")</f>
        <v>LOYOLA-P*RC</v>
      </c>
      <c r="B385" t="s">
        <v>720</v>
      </c>
      <c r="C385" t="s">
        <v>721</v>
      </c>
      <c r="D385">
        <v>2302</v>
      </c>
      <c r="E385">
        <v>1698</v>
      </c>
      <c r="F385">
        <v>51</v>
      </c>
      <c r="G385" s="261">
        <v>-0.05</v>
      </c>
      <c r="H385">
        <v>47</v>
      </c>
      <c r="I385" s="261">
        <v>-0.01</v>
      </c>
      <c r="J385" s="261">
        <v>2.37</v>
      </c>
      <c r="K385" s="261">
        <v>2.56</v>
      </c>
      <c r="L385" s="263">
        <v>3.1</v>
      </c>
      <c r="M385" s="252">
        <v>123</v>
      </c>
      <c r="N385" s="261">
        <v>2.95</v>
      </c>
      <c r="O385" s="263">
        <v>-0.8</v>
      </c>
      <c r="P385" s="263">
        <v>-1.5</v>
      </c>
      <c r="Q385" s="263">
        <v>6.8</v>
      </c>
    </row>
    <row r="386" spans="1:17" ht="12.75">
      <c r="A386" s="251" t="str">
        <f>HYPERLINK("http://ct.wwsires.com/bull/7HO12987","FABIO")</f>
        <v>FABIO</v>
      </c>
      <c r="B386" t="s">
        <v>722</v>
      </c>
      <c r="C386" t="s">
        <v>723</v>
      </c>
      <c r="D386">
        <v>2674</v>
      </c>
      <c r="E386">
        <v>1499</v>
      </c>
      <c r="F386">
        <v>58</v>
      </c>
      <c r="G386" s="261">
        <v>0.01</v>
      </c>
      <c r="H386">
        <v>45</v>
      </c>
      <c r="I386" s="261">
        <v>0</v>
      </c>
      <c r="J386" s="261">
        <v>2.27</v>
      </c>
      <c r="K386" s="261">
        <v>1.92</v>
      </c>
      <c r="L386" s="263">
        <v>9.4</v>
      </c>
      <c r="M386" s="252">
        <v>123</v>
      </c>
      <c r="N386" s="261">
        <v>2.7800000000000002</v>
      </c>
      <c r="O386" s="263">
        <v>4.2</v>
      </c>
      <c r="P386" s="263">
        <v>3.8</v>
      </c>
      <c r="Q386" s="263">
        <v>5.4</v>
      </c>
    </row>
    <row r="387" spans="1:17" ht="12.75">
      <c r="A387" s="251" t="str">
        <f>HYPERLINK("http://ct.wwsires.com/bull/14HO07778","ACCELMAJESTY")</f>
        <v>ACCELMAJESTY</v>
      </c>
      <c r="B387" t="s">
        <v>724</v>
      </c>
      <c r="C387" t="s">
        <v>725</v>
      </c>
      <c r="D387">
        <v>2512</v>
      </c>
      <c r="E387">
        <v>865</v>
      </c>
      <c r="F387">
        <v>76</v>
      </c>
      <c r="G387" s="261">
        <v>0.16</v>
      </c>
      <c r="H387">
        <v>29</v>
      </c>
      <c r="I387" s="261">
        <v>0.01</v>
      </c>
      <c r="J387" s="261">
        <v>1.73</v>
      </c>
      <c r="K387" s="261">
        <v>2.23</v>
      </c>
      <c r="L387" s="263">
        <v>5.8</v>
      </c>
      <c r="M387" s="252">
        <v>122</v>
      </c>
      <c r="N387" s="261">
        <v>2.77</v>
      </c>
      <c r="O387" s="263">
        <v>3.2</v>
      </c>
      <c r="P387" s="263">
        <v>2.9</v>
      </c>
      <c r="Q387" s="263">
        <v>6.8</v>
      </c>
    </row>
    <row r="388" spans="1:17" ht="12.75">
      <c r="A388" s="251" t="str">
        <f>HYPERLINK("http://ct.wwsires.com/bull/250HO13783","PAT*RC")</f>
        <v>PAT*RC</v>
      </c>
      <c r="B388" t="s">
        <v>726</v>
      </c>
      <c r="C388" t="s">
        <v>360</v>
      </c>
      <c r="D388">
        <v>2739</v>
      </c>
      <c r="E388">
        <v>1095</v>
      </c>
      <c r="F388">
        <v>58</v>
      </c>
      <c r="G388" s="261">
        <v>0.06</v>
      </c>
      <c r="H388">
        <v>44</v>
      </c>
      <c r="I388" s="261">
        <v>0.04</v>
      </c>
      <c r="J388" s="261">
        <v>2.76</v>
      </c>
      <c r="K388" s="261">
        <v>2.88</v>
      </c>
      <c r="L388" s="263">
        <v>10</v>
      </c>
      <c r="M388" s="252">
        <v>122</v>
      </c>
      <c r="N388" s="261">
        <v>2.75</v>
      </c>
      <c r="O388" s="263">
        <v>4</v>
      </c>
      <c r="P388" s="263">
        <v>4.1</v>
      </c>
      <c r="Q388" s="263">
        <v>7.3</v>
      </c>
    </row>
    <row r="389" spans="1:17" ht="12.75">
      <c r="A389" s="251" t="str">
        <f>HYPERLINK("http://ct.wwsires.com/bull/7HO12313","CASHAY")</f>
        <v>CASHAY</v>
      </c>
      <c r="B389" t="s">
        <v>727</v>
      </c>
      <c r="C389" t="s">
        <v>728</v>
      </c>
      <c r="D389">
        <v>2289</v>
      </c>
      <c r="E389">
        <v>1346</v>
      </c>
      <c r="F389">
        <v>57</v>
      </c>
      <c r="G389" s="261">
        <v>0.02</v>
      </c>
      <c r="H389">
        <v>39</v>
      </c>
      <c r="I389" s="261">
        <v>0</v>
      </c>
      <c r="J389" s="261">
        <v>1.12</v>
      </c>
      <c r="K389" s="261">
        <v>0.9</v>
      </c>
      <c r="L389" s="263">
        <v>4.6</v>
      </c>
      <c r="M389" s="252">
        <v>121</v>
      </c>
      <c r="N389" s="261">
        <v>2.77</v>
      </c>
      <c r="O389" s="263">
        <v>1</v>
      </c>
      <c r="P389" s="263">
        <v>0.3</v>
      </c>
      <c r="Q389" s="263">
        <v>5.3</v>
      </c>
    </row>
    <row r="390" spans="1:17" ht="12.75">
      <c r="A390" s="251" t="str">
        <f>HYPERLINK("http://ct.wwsires.com/bull/7HO12317","SANDERS")</f>
        <v>SANDERS</v>
      </c>
      <c r="B390" t="s">
        <v>729</v>
      </c>
      <c r="C390" t="s">
        <v>730</v>
      </c>
      <c r="D390">
        <v>2406</v>
      </c>
      <c r="E390">
        <v>1790</v>
      </c>
      <c r="F390">
        <v>37</v>
      </c>
      <c r="G390" s="261">
        <v>-0.11</v>
      </c>
      <c r="H390">
        <v>52</v>
      </c>
      <c r="I390" s="261">
        <v>0</v>
      </c>
      <c r="J390" s="261">
        <v>1.5699999999999998</v>
      </c>
      <c r="K390" s="261">
        <v>1.99</v>
      </c>
      <c r="L390" s="263">
        <v>6.9</v>
      </c>
      <c r="M390" s="252">
        <v>121</v>
      </c>
      <c r="N390" s="261">
        <v>2.79</v>
      </c>
      <c r="O390" s="263">
        <v>2.3</v>
      </c>
      <c r="P390" s="263">
        <v>2.1</v>
      </c>
      <c r="Q390" s="263">
        <v>7.8</v>
      </c>
    </row>
    <row r="391" spans="1:17" ht="12.75">
      <c r="A391" s="251" t="str">
        <f>HYPERLINK("http://ct.wwsires.com/bull/14HO07368","MAGNUM")</f>
        <v>MAGNUM</v>
      </c>
      <c r="B391" t="s">
        <v>731</v>
      </c>
      <c r="C391" t="s">
        <v>732</v>
      </c>
      <c r="D391">
        <v>2370</v>
      </c>
      <c r="E391">
        <v>1717</v>
      </c>
      <c r="F391">
        <v>58</v>
      </c>
      <c r="G391" s="261">
        <v>-0.02</v>
      </c>
      <c r="H391">
        <v>48</v>
      </c>
      <c r="I391" s="261">
        <v>-0.01</v>
      </c>
      <c r="J391" s="261">
        <v>1.52</v>
      </c>
      <c r="K391" s="261">
        <v>0.92</v>
      </c>
      <c r="L391" s="263">
        <v>6.4</v>
      </c>
      <c r="M391" s="252">
        <v>120</v>
      </c>
      <c r="N391" s="261">
        <v>3.02</v>
      </c>
      <c r="O391" s="263">
        <v>2</v>
      </c>
      <c r="P391" s="263">
        <v>1.7</v>
      </c>
      <c r="Q391" s="263">
        <v>9.4</v>
      </c>
    </row>
    <row r="392" spans="1:17" ht="12.75">
      <c r="A392" s="251" t="str">
        <f>HYPERLINK("http://ct.wwsires.com/bull/7HO11928","PARTYROCK")</f>
        <v>PARTYROCK</v>
      </c>
      <c r="B392" t="s">
        <v>733</v>
      </c>
      <c r="C392" t="s">
        <v>734</v>
      </c>
      <c r="D392">
        <v>2420</v>
      </c>
      <c r="E392">
        <v>68</v>
      </c>
      <c r="F392">
        <v>49</v>
      </c>
      <c r="G392" s="261">
        <v>0.17</v>
      </c>
      <c r="H392">
        <v>25</v>
      </c>
      <c r="I392" s="261">
        <v>0.08</v>
      </c>
      <c r="J392" s="261">
        <v>0.88</v>
      </c>
      <c r="K392" s="261">
        <v>1.9300000000000002</v>
      </c>
      <c r="L392" s="263">
        <v>8.2</v>
      </c>
      <c r="M392" s="252">
        <v>120</v>
      </c>
      <c r="N392" s="261">
        <v>2.7</v>
      </c>
      <c r="O392" s="263">
        <v>2.6</v>
      </c>
      <c r="P392" s="263">
        <v>2.5</v>
      </c>
      <c r="Q392" s="263">
        <v>6.1</v>
      </c>
    </row>
    <row r="393" spans="1:17" ht="12.75">
      <c r="A393" s="251" t="str">
        <f>HYPERLINK("http://ct.wwsires.com/bull/14HO07483","ALIGN")</f>
        <v>ALIGN</v>
      </c>
      <c r="B393" t="s">
        <v>735</v>
      </c>
      <c r="C393" t="s">
        <v>736</v>
      </c>
      <c r="D393">
        <v>2354</v>
      </c>
      <c r="E393">
        <v>438</v>
      </c>
      <c r="F393">
        <v>60</v>
      </c>
      <c r="G393" s="261">
        <v>0.16</v>
      </c>
      <c r="H393">
        <v>31</v>
      </c>
      <c r="I393" s="261">
        <v>0.06</v>
      </c>
      <c r="J393" s="261">
        <v>1.6800000000000002</v>
      </c>
      <c r="K393" s="261">
        <v>1.8199999999999998</v>
      </c>
      <c r="L393" s="263">
        <v>3.8</v>
      </c>
      <c r="M393" s="252">
        <v>120</v>
      </c>
      <c r="N393" s="261">
        <v>2.99</v>
      </c>
      <c r="O393" s="263">
        <v>2</v>
      </c>
      <c r="P393" s="263">
        <v>2.1</v>
      </c>
      <c r="Q393" s="263">
        <v>8.1</v>
      </c>
    </row>
    <row r="394" spans="1:17" ht="12.75">
      <c r="A394" s="251" t="str">
        <f>HYPERLINK("http://ct.wwsires.com/bull/7HO12616","ASCENDER")</f>
        <v>ASCENDER</v>
      </c>
      <c r="B394" t="s">
        <v>737</v>
      </c>
      <c r="C394" t="s">
        <v>738</v>
      </c>
      <c r="D394">
        <v>2486</v>
      </c>
      <c r="E394">
        <v>1762</v>
      </c>
      <c r="F394">
        <v>53</v>
      </c>
      <c r="G394" s="261">
        <v>-0.05</v>
      </c>
      <c r="H394">
        <v>49</v>
      </c>
      <c r="I394" s="261">
        <v>-0.01</v>
      </c>
      <c r="J394" s="261">
        <v>2.26</v>
      </c>
      <c r="K394" s="261">
        <v>2.57</v>
      </c>
      <c r="L394" s="263">
        <v>5.7</v>
      </c>
      <c r="M394" s="252">
        <v>120</v>
      </c>
      <c r="N394" s="261">
        <v>2.91</v>
      </c>
      <c r="O394" s="263">
        <v>1.4</v>
      </c>
      <c r="P394" s="263">
        <v>1.3</v>
      </c>
      <c r="Q394" s="263">
        <v>6.8</v>
      </c>
    </row>
    <row r="395" spans="1:17" ht="12.75">
      <c r="A395" s="251" t="str">
        <f>HYPERLINK("http://ct.wwsires.com/bull/250HO12728","CEDARWOOD")</f>
        <v>CEDARWOOD</v>
      </c>
      <c r="B395" t="s">
        <v>739</v>
      </c>
      <c r="C395" t="s">
        <v>740</v>
      </c>
      <c r="D395">
        <v>2456</v>
      </c>
      <c r="E395">
        <v>735</v>
      </c>
      <c r="F395">
        <v>55</v>
      </c>
      <c r="G395" s="261">
        <v>0.1</v>
      </c>
      <c r="H395">
        <v>40</v>
      </c>
      <c r="I395" s="261">
        <v>0.06</v>
      </c>
      <c r="J395" s="261">
        <v>2.65</v>
      </c>
      <c r="K395" s="261">
        <v>2.79</v>
      </c>
      <c r="L395" s="263">
        <v>4.6</v>
      </c>
      <c r="M395" s="252">
        <v>120</v>
      </c>
      <c r="N395" s="261">
        <v>2.89</v>
      </c>
      <c r="O395" s="263">
        <v>1.3</v>
      </c>
      <c r="P395" s="263">
        <v>1.4</v>
      </c>
      <c r="Q395" s="263">
        <v>6.8</v>
      </c>
    </row>
    <row r="396" spans="1:17" ht="12.75">
      <c r="A396" s="251" t="str">
        <f>HYPERLINK("http://ct.wwsires.com/bull/14HO07849","HANDYMAN")</f>
        <v>HANDYMAN</v>
      </c>
      <c r="B396" t="s">
        <v>741</v>
      </c>
      <c r="C396" t="s">
        <v>742</v>
      </c>
      <c r="D396">
        <v>2536</v>
      </c>
      <c r="E396">
        <v>728</v>
      </c>
      <c r="F396">
        <v>60</v>
      </c>
      <c r="G396" s="261">
        <v>0.12</v>
      </c>
      <c r="H396">
        <v>35</v>
      </c>
      <c r="I396" s="261">
        <v>0.05</v>
      </c>
      <c r="J396" s="261">
        <v>2.57</v>
      </c>
      <c r="K396" s="261">
        <v>2.34</v>
      </c>
      <c r="L396" s="263">
        <v>5.2</v>
      </c>
      <c r="M396" s="252">
        <v>120</v>
      </c>
      <c r="N396" s="261">
        <v>2.87</v>
      </c>
      <c r="O396" s="263">
        <v>3.6</v>
      </c>
      <c r="P396" s="263">
        <v>3.7</v>
      </c>
      <c r="Q396" s="263">
        <v>6.3</v>
      </c>
    </row>
    <row r="397" spans="1:17" ht="12.75">
      <c r="A397" s="251" t="str">
        <f>HYPERLINK("http://ct.wwsires.com/bull/7HO13140","SYNERGY")</f>
        <v>SYNERGY</v>
      </c>
      <c r="B397" t="s">
        <v>743</v>
      </c>
      <c r="C397" t="s">
        <v>744</v>
      </c>
      <c r="D397">
        <v>2379</v>
      </c>
      <c r="E397">
        <v>1044</v>
      </c>
      <c r="F397">
        <v>44</v>
      </c>
      <c r="G397" s="261">
        <v>0.02</v>
      </c>
      <c r="H397">
        <v>37</v>
      </c>
      <c r="I397" s="261">
        <v>0.02</v>
      </c>
      <c r="J397" s="261">
        <v>1.99</v>
      </c>
      <c r="K397" s="261">
        <v>2.63</v>
      </c>
      <c r="L397" s="263">
        <v>5.7</v>
      </c>
      <c r="M397" s="252">
        <v>120</v>
      </c>
      <c r="N397" s="261">
        <v>2.9</v>
      </c>
      <c r="O397" s="263">
        <v>1.4</v>
      </c>
      <c r="P397" s="263">
        <v>1.5</v>
      </c>
      <c r="Q397" s="263">
        <v>4.8</v>
      </c>
    </row>
    <row r="398" spans="1:17" ht="12.75">
      <c r="A398" s="251" t="str">
        <f>HYPERLINK("http://ct.wwsires.com/bull/250HO12301","RAVECUT")</f>
        <v>RAVECUT</v>
      </c>
      <c r="B398" t="s">
        <v>745</v>
      </c>
      <c r="C398" t="s">
        <v>746</v>
      </c>
      <c r="D398">
        <v>2458</v>
      </c>
      <c r="E398">
        <v>685</v>
      </c>
      <c r="F398">
        <v>59</v>
      </c>
      <c r="G398" s="261">
        <v>0.12</v>
      </c>
      <c r="H398">
        <v>38</v>
      </c>
      <c r="I398" s="261">
        <v>0.06</v>
      </c>
      <c r="J398" s="261">
        <v>2.4</v>
      </c>
      <c r="K398" s="261">
        <v>2.11</v>
      </c>
      <c r="L398" s="263">
        <v>5.1</v>
      </c>
      <c r="M398" s="252">
        <v>119</v>
      </c>
      <c r="N398" s="261">
        <v>2.74</v>
      </c>
      <c r="O398" s="263">
        <v>0.8</v>
      </c>
      <c r="P398" s="263">
        <v>0.4</v>
      </c>
      <c r="Q398" s="263">
        <v>7.2</v>
      </c>
    </row>
    <row r="399" spans="1:17" ht="12.75">
      <c r="A399" s="251" t="str">
        <f>HYPERLINK("http://ct.wwsires.com/bull/14HO05936","DOM *BY")</f>
        <v>DOM *BY</v>
      </c>
      <c r="B399" t="s">
        <v>747</v>
      </c>
      <c r="C399" t="s">
        <v>748</v>
      </c>
      <c r="D399">
        <v>2134</v>
      </c>
      <c r="E399">
        <v>1160</v>
      </c>
      <c r="F399">
        <v>59</v>
      </c>
      <c r="G399" s="261">
        <v>0.06</v>
      </c>
      <c r="H399">
        <v>31</v>
      </c>
      <c r="I399" s="261">
        <v>-0.02</v>
      </c>
      <c r="J399" s="261">
        <v>1.69</v>
      </c>
      <c r="K399" s="261">
        <v>1.44</v>
      </c>
      <c r="L399" s="263">
        <v>0.5</v>
      </c>
      <c r="M399" s="252">
        <v>118</v>
      </c>
      <c r="N399" s="261">
        <v>3.12</v>
      </c>
      <c r="O399" s="263">
        <v>-1.4</v>
      </c>
      <c r="P399" s="263">
        <v>-1.1</v>
      </c>
      <c r="Q399" s="263">
        <v>8.4</v>
      </c>
    </row>
    <row r="400" spans="1:17" ht="12.75">
      <c r="A400" s="251" t="str">
        <f>HYPERLINK("http://ct.wwsires.com/bull/14HO07605","CAPTAIN-RED")</f>
        <v>CAPTAIN-RED</v>
      </c>
      <c r="B400" t="s">
        <v>749</v>
      </c>
      <c r="C400" t="s">
        <v>750</v>
      </c>
      <c r="D400">
        <v>2369</v>
      </c>
      <c r="E400">
        <v>162</v>
      </c>
      <c r="F400">
        <v>64</v>
      </c>
      <c r="G400" s="261">
        <v>0.21</v>
      </c>
      <c r="H400">
        <v>24</v>
      </c>
      <c r="I400" s="261">
        <v>0.07</v>
      </c>
      <c r="J400" s="261">
        <v>1.3900000000000001</v>
      </c>
      <c r="K400" s="261">
        <v>1.8199999999999998</v>
      </c>
      <c r="L400" s="263">
        <v>7.4</v>
      </c>
      <c r="M400" s="252">
        <v>118</v>
      </c>
      <c r="N400" s="261">
        <v>2.79</v>
      </c>
      <c r="O400" s="263">
        <v>2.3</v>
      </c>
      <c r="P400" s="263">
        <v>2.3</v>
      </c>
      <c r="Q400" s="263">
        <v>7.3</v>
      </c>
    </row>
    <row r="401" spans="1:17" ht="12.75">
      <c r="A401" s="251" t="str">
        <f>HYPERLINK("http://ct.wwsires.com/bull/14HO07863","ACCELDOUBLE PP")</f>
        <v>ACCELDOUBLE PP</v>
      </c>
      <c r="B401" t="s">
        <v>751</v>
      </c>
      <c r="C401" t="s">
        <v>752</v>
      </c>
      <c r="D401">
        <v>2329</v>
      </c>
      <c r="E401">
        <v>951</v>
      </c>
      <c r="F401">
        <v>46</v>
      </c>
      <c r="G401" s="261">
        <v>0.04</v>
      </c>
      <c r="H401">
        <v>38</v>
      </c>
      <c r="I401" s="261">
        <v>0.03</v>
      </c>
      <c r="J401" s="261">
        <v>0.61</v>
      </c>
      <c r="K401" s="261">
        <v>1.07</v>
      </c>
      <c r="L401" s="263">
        <v>5.4</v>
      </c>
      <c r="M401" s="252">
        <v>118</v>
      </c>
      <c r="N401" s="261">
        <v>3.04</v>
      </c>
      <c r="O401" s="263">
        <v>3.7</v>
      </c>
      <c r="P401" s="263">
        <v>3.6</v>
      </c>
      <c r="Q401" s="263">
        <v>6.4</v>
      </c>
    </row>
    <row r="402" spans="1:17" ht="12.75">
      <c r="A402" s="251" t="str">
        <f>HYPERLINK("http://ct.wwsires.com/bull/250HO12128","THOREAU")</f>
        <v>THOREAU</v>
      </c>
      <c r="B402" t="s">
        <v>753</v>
      </c>
      <c r="C402" t="s">
        <v>754</v>
      </c>
      <c r="D402">
        <v>2407</v>
      </c>
      <c r="E402">
        <v>1308</v>
      </c>
      <c r="F402">
        <v>50</v>
      </c>
      <c r="G402" s="261">
        <v>0</v>
      </c>
      <c r="H402">
        <v>41</v>
      </c>
      <c r="I402" s="261">
        <v>0.01</v>
      </c>
      <c r="J402" s="261">
        <v>2.45</v>
      </c>
      <c r="K402" s="261">
        <v>2.86</v>
      </c>
      <c r="L402" s="263">
        <v>3.5</v>
      </c>
      <c r="M402" s="252">
        <v>118</v>
      </c>
      <c r="N402" s="261">
        <v>2.92</v>
      </c>
      <c r="O402" s="263">
        <v>0.7</v>
      </c>
      <c r="P402" s="263">
        <v>0.6</v>
      </c>
      <c r="Q402" s="263">
        <v>7.2</v>
      </c>
    </row>
    <row r="403" spans="1:17" ht="12.75">
      <c r="A403" s="251" t="str">
        <f>HYPERLINK("http://ct.wwsires.com/bull/7HO12716","ANTARES")</f>
        <v>ANTARES</v>
      </c>
      <c r="B403" t="s">
        <v>755</v>
      </c>
      <c r="C403" t="s">
        <v>756</v>
      </c>
      <c r="D403">
        <v>2499</v>
      </c>
      <c r="E403">
        <v>834</v>
      </c>
      <c r="F403">
        <v>56</v>
      </c>
      <c r="G403" s="261">
        <v>0.09</v>
      </c>
      <c r="H403">
        <v>42</v>
      </c>
      <c r="I403" s="261">
        <v>0.06</v>
      </c>
      <c r="J403" s="261">
        <v>2.83</v>
      </c>
      <c r="K403" s="261">
        <v>2.41</v>
      </c>
      <c r="L403" s="263">
        <v>3.4</v>
      </c>
      <c r="M403" s="252">
        <v>118</v>
      </c>
      <c r="N403" s="261">
        <v>2.89</v>
      </c>
      <c r="O403" s="263">
        <v>2.2</v>
      </c>
      <c r="P403" s="263">
        <v>2.2</v>
      </c>
      <c r="Q403" s="263">
        <v>7.4</v>
      </c>
    </row>
    <row r="404" spans="1:17" ht="12.75">
      <c r="A404" s="251" t="str">
        <f>HYPERLINK("http://ct.wwsires.com/bull/7HO12726","KING TUT")</f>
        <v>KING TUT</v>
      </c>
      <c r="B404" t="s">
        <v>757</v>
      </c>
      <c r="C404" t="s">
        <v>758</v>
      </c>
      <c r="D404">
        <v>2606</v>
      </c>
      <c r="E404">
        <v>1216</v>
      </c>
      <c r="F404">
        <v>61</v>
      </c>
      <c r="G404" s="261">
        <v>0.05</v>
      </c>
      <c r="H404">
        <v>45</v>
      </c>
      <c r="I404" s="261">
        <v>0.03</v>
      </c>
      <c r="J404" s="261">
        <v>3.06</v>
      </c>
      <c r="K404" s="261">
        <v>2.54</v>
      </c>
      <c r="L404" s="263">
        <v>6.1</v>
      </c>
      <c r="M404" s="252">
        <v>117</v>
      </c>
      <c r="N404" s="261">
        <v>2.65</v>
      </c>
      <c r="O404" s="263">
        <v>1.9</v>
      </c>
      <c r="P404" s="263">
        <v>1.7</v>
      </c>
      <c r="Q404" s="263">
        <v>7.5</v>
      </c>
    </row>
    <row r="405" spans="1:17" ht="12.75">
      <c r="A405" s="251" t="str">
        <f>HYPERLINK("http://ct.wwsires.com/bull/14HO07728","RONALDO")</f>
        <v>RONALDO</v>
      </c>
      <c r="B405" t="s">
        <v>759</v>
      </c>
      <c r="C405" t="s">
        <v>760</v>
      </c>
      <c r="D405">
        <v>2431</v>
      </c>
      <c r="E405">
        <v>711</v>
      </c>
      <c r="F405">
        <v>65</v>
      </c>
      <c r="G405" s="261">
        <v>0.14</v>
      </c>
      <c r="H405">
        <v>25</v>
      </c>
      <c r="I405" s="261">
        <v>0.01</v>
      </c>
      <c r="J405" s="261">
        <v>1.37</v>
      </c>
      <c r="K405" s="261">
        <v>2.25</v>
      </c>
      <c r="L405" s="263">
        <v>6.8</v>
      </c>
      <c r="M405" s="252">
        <v>117</v>
      </c>
      <c r="N405" s="261">
        <v>2.67</v>
      </c>
      <c r="O405" s="263">
        <v>1.8</v>
      </c>
      <c r="P405" s="263">
        <v>1.8</v>
      </c>
      <c r="Q405" s="263">
        <v>7.1</v>
      </c>
    </row>
    <row r="406" spans="1:17" ht="12.75">
      <c r="A406" s="251" t="str">
        <f>HYPERLINK("http://ct.wwsires.com/bull/7HO12844","AXEL-RED")</f>
        <v>AXEL-RED</v>
      </c>
      <c r="B406" t="s">
        <v>761</v>
      </c>
      <c r="C406" t="s">
        <v>762</v>
      </c>
      <c r="D406">
        <v>2341</v>
      </c>
      <c r="E406">
        <v>826</v>
      </c>
      <c r="F406">
        <v>53</v>
      </c>
      <c r="G406" s="261">
        <v>0.09</v>
      </c>
      <c r="H406">
        <v>37</v>
      </c>
      <c r="I406" s="261">
        <v>0.04</v>
      </c>
      <c r="J406" s="261">
        <v>2.2800000000000002</v>
      </c>
      <c r="K406" s="261">
        <v>2.32</v>
      </c>
      <c r="L406" s="263">
        <v>4.2</v>
      </c>
      <c r="M406" s="252">
        <v>117</v>
      </c>
      <c r="N406" s="261">
        <v>2.69</v>
      </c>
      <c r="O406" s="263">
        <v>-0.4</v>
      </c>
      <c r="P406" s="263">
        <v>-0.6</v>
      </c>
      <c r="Q406" s="263">
        <v>8</v>
      </c>
    </row>
    <row r="407" spans="1:17" ht="12.75">
      <c r="A407" s="251" t="str">
        <f>HYPERLINK("http://ct.wwsires.com/bull/7HO12111","DRAGONHEART")</f>
        <v>DRAGONHEART</v>
      </c>
      <c r="B407" t="s">
        <v>763</v>
      </c>
      <c r="C407" t="s">
        <v>764</v>
      </c>
      <c r="D407">
        <v>2465</v>
      </c>
      <c r="E407">
        <v>1869</v>
      </c>
      <c r="F407">
        <v>49</v>
      </c>
      <c r="G407" s="261">
        <v>-0.07</v>
      </c>
      <c r="H407">
        <v>43</v>
      </c>
      <c r="I407" s="261">
        <v>-0.05</v>
      </c>
      <c r="J407" s="261">
        <v>1.87</v>
      </c>
      <c r="K407" s="261">
        <v>2.24</v>
      </c>
      <c r="L407" s="263">
        <v>7.5</v>
      </c>
      <c r="M407" s="252">
        <v>117</v>
      </c>
      <c r="N407" s="261">
        <v>2.91</v>
      </c>
      <c r="O407" s="263">
        <v>2.1</v>
      </c>
      <c r="P407" s="263">
        <v>2.1</v>
      </c>
      <c r="Q407" s="263">
        <v>5.9</v>
      </c>
    </row>
    <row r="408" spans="1:17" ht="12.75">
      <c r="A408" s="251" t="str">
        <f>HYPERLINK("http://ct.wwsires.com/bull/7HO11757","SUTTON")</f>
        <v>SUTTON</v>
      </c>
      <c r="B408" t="s">
        <v>765</v>
      </c>
      <c r="C408" t="s">
        <v>589</v>
      </c>
      <c r="D408">
        <v>2373</v>
      </c>
      <c r="E408">
        <v>1624</v>
      </c>
      <c r="F408">
        <v>40</v>
      </c>
      <c r="G408" s="261">
        <v>-0.07</v>
      </c>
      <c r="H408">
        <v>55</v>
      </c>
      <c r="I408" s="261">
        <v>0.02</v>
      </c>
      <c r="J408" s="261">
        <v>1.6</v>
      </c>
      <c r="K408" s="261">
        <v>0.84</v>
      </c>
      <c r="L408" s="263">
        <v>5.3</v>
      </c>
      <c r="M408" s="252">
        <v>117</v>
      </c>
      <c r="N408" s="261">
        <v>2.95</v>
      </c>
      <c r="O408" s="263">
        <v>1.6</v>
      </c>
      <c r="P408" s="263">
        <v>0.9</v>
      </c>
      <c r="Q408" s="263">
        <v>7.6</v>
      </c>
    </row>
    <row r="409" spans="1:17" ht="12.75">
      <c r="A409" s="251" t="str">
        <f>HYPERLINK("http://ct.wwsires.com/bull/714HO00036","RELIABLE")</f>
        <v>RELIABLE</v>
      </c>
      <c r="B409" t="s">
        <v>766</v>
      </c>
      <c r="C409" t="s">
        <v>767</v>
      </c>
      <c r="D409">
        <v>2395</v>
      </c>
      <c r="E409">
        <v>350</v>
      </c>
      <c r="F409">
        <v>59</v>
      </c>
      <c r="G409" s="261">
        <v>0.17</v>
      </c>
      <c r="H409">
        <v>22</v>
      </c>
      <c r="I409" s="261">
        <v>0.04</v>
      </c>
      <c r="J409" s="261">
        <v>0.89</v>
      </c>
      <c r="K409" s="261">
        <v>1.48</v>
      </c>
      <c r="L409" s="263">
        <v>5.6</v>
      </c>
      <c r="M409" s="252">
        <v>117</v>
      </c>
      <c r="N409" s="261">
        <v>2.85</v>
      </c>
      <c r="O409" s="263">
        <v>3.2</v>
      </c>
      <c r="P409" s="263">
        <v>3.5</v>
      </c>
      <c r="Q409" s="263">
        <v>4.7</v>
      </c>
    </row>
    <row r="410" spans="1:17" ht="12.75">
      <c r="A410" s="251" t="str">
        <f>HYPERLINK("http://ct.wwsires.com/bull/7HO13559","SNAZZY")</f>
        <v>SNAZZY</v>
      </c>
      <c r="B410" t="s">
        <v>768</v>
      </c>
      <c r="C410" t="s">
        <v>769</v>
      </c>
      <c r="D410">
        <v>2661</v>
      </c>
      <c r="E410">
        <v>761</v>
      </c>
      <c r="F410">
        <v>49</v>
      </c>
      <c r="G410" s="261">
        <v>0.07</v>
      </c>
      <c r="H410">
        <v>36</v>
      </c>
      <c r="I410" s="261">
        <v>0.04</v>
      </c>
      <c r="J410" s="261">
        <v>0.41</v>
      </c>
      <c r="K410" s="261">
        <v>0.97</v>
      </c>
      <c r="L410" s="263">
        <v>12.7</v>
      </c>
      <c r="M410" s="252">
        <v>116</v>
      </c>
      <c r="N410" s="261">
        <v>2.5</v>
      </c>
      <c r="O410" s="263">
        <v>6.8</v>
      </c>
      <c r="P410" s="263">
        <v>7.1</v>
      </c>
      <c r="Q410" s="263">
        <v>5</v>
      </c>
    </row>
    <row r="411" spans="1:17" ht="12.75">
      <c r="A411" s="251" t="str">
        <f>HYPERLINK("http://ct.wwsires.com/bull/7HO12183","LIGHTS OUT")</f>
        <v>LIGHTS OUT</v>
      </c>
      <c r="B411" t="s">
        <v>770</v>
      </c>
      <c r="C411" t="s">
        <v>771</v>
      </c>
      <c r="D411">
        <v>2389</v>
      </c>
      <c r="E411">
        <v>1240</v>
      </c>
      <c r="F411">
        <v>55</v>
      </c>
      <c r="G411" s="261">
        <v>0.03</v>
      </c>
      <c r="H411">
        <v>42</v>
      </c>
      <c r="I411" s="261">
        <v>0.01</v>
      </c>
      <c r="J411" s="261">
        <v>1.48</v>
      </c>
      <c r="K411" s="261">
        <v>1.07</v>
      </c>
      <c r="L411" s="263">
        <v>6.3</v>
      </c>
      <c r="M411" s="252">
        <v>116</v>
      </c>
      <c r="N411" s="261">
        <v>2.67</v>
      </c>
      <c r="O411" s="263">
        <v>2.3</v>
      </c>
      <c r="P411" s="263">
        <v>2.3</v>
      </c>
      <c r="Q411" s="263">
        <v>7.2</v>
      </c>
    </row>
    <row r="412" spans="1:17" ht="12.75">
      <c r="A412" s="251" t="str">
        <f>HYPERLINK("http://ct.wwsires.com/bull/14HO07673","SPEED")</f>
        <v>SPEED</v>
      </c>
      <c r="B412" t="s">
        <v>772</v>
      </c>
      <c r="C412" t="s">
        <v>773</v>
      </c>
      <c r="D412">
        <v>2409</v>
      </c>
      <c r="E412">
        <v>1264</v>
      </c>
      <c r="F412">
        <v>42</v>
      </c>
      <c r="G412" s="261">
        <v>-0.02</v>
      </c>
      <c r="H412">
        <v>47</v>
      </c>
      <c r="I412" s="261">
        <v>0.03</v>
      </c>
      <c r="J412" s="261">
        <v>1.74</v>
      </c>
      <c r="K412" s="261">
        <v>2.18</v>
      </c>
      <c r="L412" s="263">
        <v>4.5</v>
      </c>
      <c r="M412" s="252">
        <v>116</v>
      </c>
      <c r="N412" s="261">
        <v>2.9</v>
      </c>
      <c r="O412" s="263">
        <v>1.9</v>
      </c>
      <c r="P412" s="263">
        <v>1.8</v>
      </c>
      <c r="Q412" s="263">
        <v>4.6</v>
      </c>
    </row>
    <row r="413" spans="1:17" ht="12.75">
      <c r="A413" s="251" t="str">
        <f>HYPERLINK("http://ct.wwsires.com/bull/14HO07762","ACCELROYALTY")</f>
        <v>ACCELROYALTY</v>
      </c>
      <c r="B413" t="s">
        <v>774</v>
      </c>
      <c r="C413" t="s">
        <v>775</v>
      </c>
      <c r="D413">
        <v>2463</v>
      </c>
      <c r="E413">
        <v>-224</v>
      </c>
      <c r="F413">
        <v>59</v>
      </c>
      <c r="G413" s="261">
        <v>0.25</v>
      </c>
      <c r="H413">
        <v>20</v>
      </c>
      <c r="I413" s="261">
        <v>0.1</v>
      </c>
      <c r="J413" s="261">
        <v>2.14</v>
      </c>
      <c r="K413" s="261">
        <v>2.64</v>
      </c>
      <c r="L413" s="263">
        <v>6.2</v>
      </c>
      <c r="M413" s="252">
        <v>116</v>
      </c>
      <c r="N413" s="261">
        <v>2.71</v>
      </c>
      <c r="O413" s="263">
        <v>2.4</v>
      </c>
      <c r="P413" s="263">
        <v>2.6</v>
      </c>
      <c r="Q413" s="263">
        <v>6.8</v>
      </c>
    </row>
    <row r="414" spans="1:17" ht="12.75">
      <c r="A414" s="251" t="str">
        <f>HYPERLINK("http://ct.wwsires.com/bull/14HO07859","ACCELBAY")</f>
        <v>ACCELBAY</v>
      </c>
      <c r="B414" t="s">
        <v>776</v>
      </c>
      <c r="C414" t="s">
        <v>656</v>
      </c>
      <c r="D414">
        <v>2502</v>
      </c>
      <c r="E414">
        <v>1259</v>
      </c>
      <c r="F414">
        <v>44</v>
      </c>
      <c r="G414" s="261">
        <v>-0.01</v>
      </c>
      <c r="H414">
        <v>38</v>
      </c>
      <c r="I414" s="261">
        <v>0</v>
      </c>
      <c r="J414" s="261">
        <v>1.2</v>
      </c>
      <c r="K414" s="261">
        <v>2.12</v>
      </c>
      <c r="L414" s="263">
        <v>8.9</v>
      </c>
      <c r="M414" s="252">
        <v>115</v>
      </c>
      <c r="N414" s="261">
        <v>2.96</v>
      </c>
      <c r="O414" s="263">
        <v>4.2</v>
      </c>
      <c r="P414" s="263">
        <v>4.2</v>
      </c>
      <c r="Q414" s="263">
        <v>7.6</v>
      </c>
    </row>
    <row r="415" spans="1:17" ht="12.75">
      <c r="A415" s="251" t="str">
        <f>HYPERLINK("http://ct.wwsires.com/bull/7HO12390","GUN")</f>
        <v>GUN</v>
      </c>
      <c r="B415" t="s">
        <v>777</v>
      </c>
      <c r="C415" t="s">
        <v>778</v>
      </c>
      <c r="D415">
        <v>2378</v>
      </c>
      <c r="E415">
        <v>962</v>
      </c>
      <c r="F415">
        <v>50</v>
      </c>
      <c r="G415" s="261">
        <v>0.05</v>
      </c>
      <c r="H415">
        <v>37</v>
      </c>
      <c r="I415" s="261">
        <v>0.03</v>
      </c>
      <c r="J415" s="261">
        <v>1.49</v>
      </c>
      <c r="K415" s="261">
        <v>1.65</v>
      </c>
      <c r="L415" s="263">
        <v>5.8</v>
      </c>
      <c r="M415" s="252">
        <v>115</v>
      </c>
      <c r="N415" s="261">
        <v>2.9699999999999998</v>
      </c>
      <c r="O415" s="263">
        <v>2</v>
      </c>
      <c r="P415" s="263">
        <v>1.5</v>
      </c>
      <c r="Q415" s="263">
        <v>6.8</v>
      </c>
    </row>
    <row r="416" spans="1:17" ht="12.75">
      <c r="A416" s="251" t="str">
        <f>HYPERLINK("http://ct.wwsires.com/bull/7HO13911","FLASHY")</f>
        <v>FLASHY</v>
      </c>
      <c r="B416" t="s">
        <v>779</v>
      </c>
      <c r="C416" t="s">
        <v>780</v>
      </c>
      <c r="D416">
        <v>2319</v>
      </c>
      <c r="E416">
        <v>930</v>
      </c>
      <c r="F416">
        <v>62</v>
      </c>
      <c r="G416" s="261">
        <v>0.1</v>
      </c>
      <c r="H416">
        <v>30</v>
      </c>
      <c r="I416" s="261">
        <v>0.01</v>
      </c>
      <c r="J416" s="261">
        <v>3.3</v>
      </c>
      <c r="K416" s="261">
        <v>3.04</v>
      </c>
      <c r="L416" s="263">
        <v>1.2</v>
      </c>
      <c r="M416" s="252">
        <v>114</v>
      </c>
      <c r="N416" s="261">
        <v>2.99</v>
      </c>
      <c r="O416" s="263">
        <v>-1.1</v>
      </c>
      <c r="P416" s="263">
        <v>-1.3</v>
      </c>
      <c r="Q416" s="263">
        <v>8.1</v>
      </c>
    </row>
    <row r="417" spans="1:17" ht="12.75">
      <c r="A417" s="251" t="str">
        <f>HYPERLINK("http://ct.wwsires.com/bull/7HO13779","DOPPLER*RC")</f>
        <v>DOPPLER*RC</v>
      </c>
      <c r="B417" t="s">
        <v>781</v>
      </c>
      <c r="C417" t="s">
        <v>782</v>
      </c>
      <c r="D417">
        <v>2452</v>
      </c>
      <c r="E417">
        <v>1148</v>
      </c>
      <c r="F417">
        <v>56</v>
      </c>
      <c r="G417" s="261">
        <v>0.05</v>
      </c>
      <c r="H417">
        <v>42</v>
      </c>
      <c r="I417" s="261">
        <v>0.02</v>
      </c>
      <c r="J417" s="261">
        <v>3.24</v>
      </c>
      <c r="K417" s="261">
        <v>2.66</v>
      </c>
      <c r="L417" s="263">
        <v>4.8</v>
      </c>
      <c r="M417" s="252">
        <v>114</v>
      </c>
      <c r="N417" s="261">
        <v>2.73</v>
      </c>
      <c r="O417" s="263">
        <v>-0.1</v>
      </c>
      <c r="P417" s="263">
        <v>-0.1</v>
      </c>
      <c r="Q417" s="263">
        <v>8.4</v>
      </c>
    </row>
    <row r="418" spans="1:17" ht="12.75">
      <c r="A418" s="251" t="str">
        <f>HYPERLINK("http://ct.wwsires.com/bull/7HO12229","ERASER P")</f>
        <v>ERASER P</v>
      </c>
      <c r="B418" t="s">
        <v>783</v>
      </c>
      <c r="C418" t="s">
        <v>784</v>
      </c>
      <c r="D418">
        <v>2261</v>
      </c>
      <c r="E418">
        <v>1330</v>
      </c>
      <c r="F418">
        <v>41</v>
      </c>
      <c r="G418" s="261">
        <v>-0.03</v>
      </c>
      <c r="H418">
        <v>49</v>
      </c>
      <c r="I418" s="261">
        <v>0.03</v>
      </c>
      <c r="J418" s="261">
        <v>1.56</v>
      </c>
      <c r="K418" s="261">
        <v>1</v>
      </c>
      <c r="L418" s="263">
        <v>3.7</v>
      </c>
      <c r="M418" s="252">
        <v>114</v>
      </c>
      <c r="N418" s="261">
        <v>3.2</v>
      </c>
      <c r="O418" s="263">
        <v>2.1</v>
      </c>
      <c r="P418" s="263">
        <v>2.2</v>
      </c>
      <c r="Q418" s="263">
        <v>7.4</v>
      </c>
    </row>
    <row r="419" spans="1:17" ht="12.75">
      <c r="A419" s="251" t="str">
        <f>HYPERLINK("http://ct.wwsires.com/bull/7HO11984","NOVA")</f>
        <v>NOVA</v>
      </c>
      <c r="B419" t="s">
        <v>785</v>
      </c>
      <c r="C419" t="s">
        <v>786</v>
      </c>
      <c r="D419">
        <v>2367</v>
      </c>
      <c r="E419">
        <v>1115</v>
      </c>
      <c r="F419">
        <v>50</v>
      </c>
      <c r="G419" s="261">
        <v>0.03</v>
      </c>
      <c r="H419">
        <v>39</v>
      </c>
      <c r="I419" s="261">
        <v>0.02</v>
      </c>
      <c r="J419" s="261">
        <v>1.1</v>
      </c>
      <c r="K419" s="261">
        <v>0.91</v>
      </c>
      <c r="L419" s="263">
        <v>6.5</v>
      </c>
      <c r="M419" s="252">
        <v>113</v>
      </c>
      <c r="N419" s="261">
        <v>2.63</v>
      </c>
      <c r="O419" s="263">
        <v>2.4</v>
      </c>
      <c r="P419" s="263">
        <v>2.6</v>
      </c>
      <c r="Q419" s="263">
        <v>6.7</v>
      </c>
    </row>
    <row r="420" spans="1:17" ht="12.75">
      <c r="A420" s="251" t="str">
        <f>HYPERLINK("http://ct.wwsires.com/bull/7HO12024","GARZA")</f>
        <v>GARZA</v>
      </c>
      <c r="B420" t="s">
        <v>787</v>
      </c>
      <c r="C420" t="s">
        <v>220</v>
      </c>
      <c r="D420">
        <v>2508</v>
      </c>
      <c r="E420">
        <v>1010</v>
      </c>
      <c r="F420">
        <v>61</v>
      </c>
      <c r="G420" s="261">
        <v>0.08</v>
      </c>
      <c r="H420">
        <v>36</v>
      </c>
      <c r="I420" s="261">
        <v>0.02</v>
      </c>
      <c r="J420" s="261">
        <v>2.26</v>
      </c>
      <c r="K420" s="261">
        <v>2.64</v>
      </c>
      <c r="L420" s="263">
        <v>5</v>
      </c>
      <c r="M420" s="252">
        <v>113</v>
      </c>
      <c r="N420" s="261">
        <v>2.82</v>
      </c>
      <c r="O420" s="263">
        <v>1.7</v>
      </c>
      <c r="P420" s="263">
        <v>1.2</v>
      </c>
      <c r="Q420" s="263">
        <v>6.9</v>
      </c>
    </row>
    <row r="421" spans="1:17" ht="12.75">
      <c r="A421" s="251" t="str">
        <f>HYPERLINK("http://ct.wwsires.com/bull/14HO07791","MAXIMILIAN")</f>
        <v>MAXIMILIAN</v>
      </c>
      <c r="B421" t="s">
        <v>788</v>
      </c>
      <c r="C421" t="s">
        <v>789</v>
      </c>
      <c r="D421">
        <v>2524</v>
      </c>
      <c r="E421">
        <v>1875</v>
      </c>
      <c r="F421">
        <v>47</v>
      </c>
      <c r="G421" s="261">
        <v>-0.08</v>
      </c>
      <c r="H421">
        <v>59</v>
      </c>
      <c r="I421" s="261">
        <v>0.01</v>
      </c>
      <c r="J421" s="261">
        <v>2.32</v>
      </c>
      <c r="K421" s="261">
        <v>1.88</v>
      </c>
      <c r="L421" s="263">
        <v>7</v>
      </c>
      <c r="M421" s="252">
        <v>113</v>
      </c>
      <c r="N421" s="261">
        <v>2.81</v>
      </c>
      <c r="O421" s="263">
        <v>1.4</v>
      </c>
      <c r="P421" s="263">
        <v>1.5</v>
      </c>
      <c r="Q421" s="263">
        <v>7.9</v>
      </c>
    </row>
    <row r="422" spans="1:17" ht="12.75">
      <c r="A422" s="251" t="str">
        <f>HYPERLINK("http://ct.wwsires.com/bull/250HO13372","FIVE STAR")</f>
        <v>FIVE STAR</v>
      </c>
      <c r="B422" t="s">
        <v>790</v>
      </c>
      <c r="C422" t="s">
        <v>613</v>
      </c>
      <c r="D422">
        <v>2579</v>
      </c>
      <c r="E422">
        <v>852</v>
      </c>
      <c r="F422">
        <v>52</v>
      </c>
      <c r="G422" s="261">
        <v>0.07</v>
      </c>
      <c r="H422">
        <v>35</v>
      </c>
      <c r="I422" s="261">
        <v>0.04</v>
      </c>
      <c r="J422" s="261">
        <v>2.44</v>
      </c>
      <c r="K422" s="261">
        <v>3.06</v>
      </c>
      <c r="L422" s="263">
        <v>9.5</v>
      </c>
      <c r="M422" s="252">
        <v>112</v>
      </c>
      <c r="N422" s="261">
        <v>2.75</v>
      </c>
      <c r="O422" s="263">
        <v>2.6</v>
      </c>
      <c r="P422" s="263">
        <v>2.3</v>
      </c>
      <c r="Q422" s="263">
        <v>8.2</v>
      </c>
    </row>
    <row r="423" spans="1:17" ht="12.75">
      <c r="A423" s="251" t="str">
        <f>HYPERLINK("http://ct.wwsires.com/bull/14HO07678","ANTICIPATION")</f>
        <v>ANTICIPATION</v>
      </c>
      <c r="B423" t="s">
        <v>791</v>
      </c>
      <c r="C423" t="s">
        <v>792</v>
      </c>
      <c r="D423">
        <v>2461</v>
      </c>
      <c r="E423">
        <v>713</v>
      </c>
      <c r="F423">
        <v>52</v>
      </c>
      <c r="G423" s="261">
        <v>0.09</v>
      </c>
      <c r="H423">
        <v>28</v>
      </c>
      <c r="I423" s="261">
        <v>0.03</v>
      </c>
      <c r="J423" s="261">
        <v>1.8599999999999999</v>
      </c>
      <c r="K423" s="261">
        <v>2.14</v>
      </c>
      <c r="L423" s="263">
        <v>7</v>
      </c>
      <c r="M423" s="252">
        <v>112</v>
      </c>
      <c r="N423" s="261">
        <v>2.7</v>
      </c>
      <c r="O423" s="263">
        <v>2.6</v>
      </c>
      <c r="P423" s="263">
        <v>2.3</v>
      </c>
      <c r="Q423" s="263">
        <v>7.1</v>
      </c>
    </row>
    <row r="424" spans="1:17" ht="12.75">
      <c r="A424" s="251" t="str">
        <f>HYPERLINK("http://ct.wwsires.com/bull/250HO13863","BRAVO")</f>
        <v>BRAVO</v>
      </c>
      <c r="B424" t="s">
        <v>793</v>
      </c>
      <c r="C424" t="s">
        <v>794</v>
      </c>
      <c r="D424">
        <v>2641</v>
      </c>
      <c r="E424">
        <v>985</v>
      </c>
      <c r="F424">
        <v>53</v>
      </c>
      <c r="G424" s="261">
        <v>0.06</v>
      </c>
      <c r="H424">
        <v>40</v>
      </c>
      <c r="I424" s="261">
        <v>0.04</v>
      </c>
      <c r="J424" s="261">
        <v>2.68</v>
      </c>
      <c r="K424" s="261">
        <v>3.15</v>
      </c>
      <c r="L424" s="263">
        <v>9.1</v>
      </c>
      <c r="M424" s="252">
        <v>112</v>
      </c>
      <c r="N424" s="261">
        <v>2.7199999999999998</v>
      </c>
      <c r="O424" s="263">
        <v>2.6</v>
      </c>
      <c r="P424" s="263">
        <v>2</v>
      </c>
      <c r="Q424" s="263">
        <v>8.4</v>
      </c>
    </row>
    <row r="425" spans="1:17" ht="12.75">
      <c r="A425" s="251" t="str">
        <f>HYPERLINK("http://ct.wwsires.com/bull/250HO12746","RAMBO")</f>
        <v>RAMBO</v>
      </c>
      <c r="B425" t="s">
        <v>795</v>
      </c>
      <c r="C425" t="s">
        <v>796</v>
      </c>
      <c r="D425">
        <v>2665</v>
      </c>
      <c r="E425">
        <v>497</v>
      </c>
      <c r="F425">
        <v>63</v>
      </c>
      <c r="G425" s="261">
        <v>0.16</v>
      </c>
      <c r="H425">
        <v>32</v>
      </c>
      <c r="I425" s="261">
        <v>0.06</v>
      </c>
      <c r="J425" s="261">
        <v>3.06</v>
      </c>
      <c r="K425" s="261">
        <v>2.4699999999999998</v>
      </c>
      <c r="L425" s="263">
        <v>8.3</v>
      </c>
      <c r="M425" s="252">
        <v>112</v>
      </c>
      <c r="N425" s="261">
        <v>2.67</v>
      </c>
      <c r="O425" s="263">
        <v>3.7</v>
      </c>
      <c r="P425" s="263">
        <v>3.6</v>
      </c>
      <c r="Q425" s="263">
        <v>8.4</v>
      </c>
    </row>
    <row r="426" spans="1:17" ht="12.75">
      <c r="A426" s="251" t="str">
        <f>HYPERLINK("http://ct.wwsires.com/bull/7HO11573","SHOTGLASS")</f>
        <v>SHOTGLASS</v>
      </c>
      <c r="B426" t="s">
        <v>797</v>
      </c>
      <c r="C426" t="s">
        <v>798</v>
      </c>
      <c r="D426">
        <v>2259</v>
      </c>
      <c r="E426">
        <v>1487</v>
      </c>
      <c r="F426">
        <v>52</v>
      </c>
      <c r="G426" s="261">
        <v>-0.01</v>
      </c>
      <c r="H426">
        <v>38</v>
      </c>
      <c r="I426" s="261">
        <v>-0.03</v>
      </c>
      <c r="J426" s="261">
        <v>1.04</v>
      </c>
      <c r="K426" s="261">
        <v>1.76</v>
      </c>
      <c r="L426" s="263">
        <v>3.8</v>
      </c>
      <c r="M426" s="252">
        <v>112</v>
      </c>
      <c r="N426" s="261">
        <v>2.64</v>
      </c>
      <c r="O426" s="263">
        <v>0</v>
      </c>
      <c r="P426" s="263">
        <v>-0.8</v>
      </c>
      <c r="Q426" s="263">
        <v>6.2</v>
      </c>
    </row>
    <row r="427" spans="1:17" ht="12.75">
      <c r="A427" s="251" t="str">
        <f>HYPERLINK("http://ct.wwsires.com/bull/14HO07858","ACCELNICHE")</f>
        <v>ACCELNICHE</v>
      </c>
      <c r="B427" t="s">
        <v>799</v>
      </c>
      <c r="C427" t="s">
        <v>800</v>
      </c>
      <c r="D427">
        <v>2479</v>
      </c>
      <c r="E427">
        <v>838</v>
      </c>
      <c r="F427">
        <v>63</v>
      </c>
      <c r="G427" s="261">
        <v>0.12</v>
      </c>
      <c r="H427">
        <v>37</v>
      </c>
      <c r="I427" s="261">
        <v>0.04</v>
      </c>
      <c r="J427" s="261">
        <v>2.11</v>
      </c>
      <c r="K427" s="261">
        <v>1.38</v>
      </c>
      <c r="L427" s="263">
        <v>6.1</v>
      </c>
      <c r="M427" s="252">
        <v>112</v>
      </c>
      <c r="N427" s="261">
        <v>2.7800000000000002</v>
      </c>
      <c r="O427" s="263">
        <v>2.6</v>
      </c>
      <c r="P427" s="263">
        <v>2.5</v>
      </c>
      <c r="Q427" s="263">
        <v>7.1</v>
      </c>
    </row>
    <row r="428" spans="1:17" ht="12.75">
      <c r="A428" s="251" t="str">
        <f>HYPERLINK("http://ct.wwsires.com/bull/7HO12601","FRANCHISE")</f>
        <v>FRANCHISE</v>
      </c>
      <c r="B428" t="s">
        <v>801</v>
      </c>
      <c r="C428" t="s">
        <v>802</v>
      </c>
      <c r="D428">
        <v>2561</v>
      </c>
      <c r="E428">
        <v>847</v>
      </c>
      <c r="F428">
        <v>52</v>
      </c>
      <c r="G428" s="261">
        <v>0.08</v>
      </c>
      <c r="H428">
        <v>34</v>
      </c>
      <c r="I428" s="261">
        <v>0.04</v>
      </c>
      <c r="J428" s="261">
        <v>1.54</v>
      </c>
      <c r="K428" s="261">
        <v>2.15</v>
      </c>
      <c r="L428" s="263">
        <v>8.8</v>
      </c>
      <c r="M428" s="252">
        <v>112</v>
      </c>
      <c r="N428" s="261">
        <v>2.82</v>
      </c>
      <c r="O428" s="263">
        <v>4</v>
      </c>
      <c r="P428" s="263">
        <v>4.1</v>
      </c>
      <c r="Q428" s="263">
        <v>4.6</v>
      </c>
    </row>
    <row r="429" spans="1:17" ht="12.75">
      <c r="A429" s="251" t="str">
        <f>HYPERLINK("http://ct.wwsires.com/bull/14HO07649","LUCRATIVE")</f>
        <v>LUCRATIVE</v>
      </c>
      <c r="B429" t="s">
        <v>803</v>
      </c>
      <c r="C429" t="s">
        <v>804</v>
      </c>
      <c r="D429">
        <v>2533</v>
      </c>
      <c r="E429">
        <v>157</v>
      </c>
      <c r="F429">
        <v>61</v>
      </c>
      <c r="G429" s="261">
        <v>0.2</v>
      </c>
      <c r="H429">
        <v>26</v>
      </c>
      <c r="I429" s="261">
        <v>0.08</v>
      </c>
      <c r="J429" s="261">
        <v>2.5</v>
      </c>
      <c r="K429" s="261">
        <v>2.71</v>
      </c>
      <c r="L429" s="263">
        <v>7.3</v>
      </c>
      <c r="M429" s="252">
        <v>111</v>
      </c>
      <c r="N429" s="261">
        <v>2.7800000000000002</v>
      </c>
      <c r="O429" s="263">
        <v>2.2</v>
      </c>
      <c r="P429" s="263">
        <v>1.7</v>
      </c>
      <c r="Q429" s="263">
        <v>7</v>
      </c>
    </row>
    <row r="430" spans="1:17" ht="12.75">
      <c r="A430" s="251" t="str">
        <f>HYPERLINK("http://ct.wwsires.com/bull/14HO07461","CRANK IT")</f>
        <v>CRANK IT</v>
      </c>
      <c r="B430" t="s">
        <v>805</v>
      </c>
      <c r="C430" t="s">
        <v>806</v>
      </c>
      <c r="D430">
        <v>2460</v>
      </c>
      <c r="E430">
        <v>968</v>
      </c>
      <c r="F430">
        <v>56</v>
      </c>
      <c r="G430" s="261">
        <v>0.07</v>
      </c>
      <c r="H430">
        <v>43</v>
      </c>
      <c r="I430" s="261">
        <v>0.05</v>
      </c>
      <c r="J430" s="261">
        <v>2.37</v>
      </c>
      <c r="K430" s="261">
        <v>2.05</v>
      </c>
      <c r="L430" s="263">
        <v>4.5</v>
      </c>
      <c r="M430" s="252">
        <v>111</v>
      </c>
      <c r="N430" s="261">
        <v>2.63</v>
      </c>
      <c r="O430" s="263">
        <v>0.9</v>
      </c>
      <c r="P430" s="263">
        <v>0.8</v>
      </c>
      <c r="Q430" s="263">
        <v>7.5</v>
      </c>
    </row>
    <row r="431" spans="1:17" ht="12.75">
      <c r="A431" s="251" t="str">
        <f>HYPERLINK("http://ct.wwsires.com/bull/7HO12929","SLY")</f>
        <v>SLY</v>
      </c>
      <c r="B431" t="s">
        <v>807</v>
      </c>
      <c r="C431" t="s">
        <v>808</v>
      </c>
      <c r="D431">
        <v>2567</v>
      </c>
      <c r="E431">
        <v>1123</v>
      </c>
      <c r="F431">
        <v>47</v>
      </c>
      <c r="G431" s="261">
        <v>0.02</v>
      </c>
      <c r="H431">
        <v>39</v>
      </c>
      <c r="I431" s="261">
        <v>0.02</v>
      </c>
      <c r="J431" s="261">
        <v>1.99</v>
      </c>
      <c r="K431" s="261">
        <v>1.73</v>
      </c>
      <c r="L431" s="263">
        <v>7.1</v>
      </c>
      <c r="M431" s="252">
        <v>111</v>
      </c>
      <c r="N431" s="261">
        <v>2.52</v>
      </c>
      <c r="O431" s="263">
        <v>4.5</v>
      </c>
      <c r="P431" s="263">
        <v>4.2</v>
      </c>
      <c r="Q431" s="263">
        <v>6.4</v>
      </c>
    </row>
    <row r="432" spans="1:17" ht="12.75">
      <c r="A432" s="251" t="str">
        <f>HYPERLINK("http://ct.wwsires.com/bull/7HO12139","PETY")</f>
        <v>PETY</v>
      </c>
      <c r="B432" t="s">
        <v>809</v>
      </c>
      <c r="C432" t="s">
        <v>810</v>
      </c>
      <c r="D432">
        <v>2406</v>
      </c>
      <c r="E432">
        <v>1204</v>
      </c>
      <c r="F432">
        <v>44</v>
      </c>
      <c r="G432" s="261">
        <v>0</v>
      </c>
      <c r="H432">
        <v>38</v>
      </c>
      <c r="I432" s="261">
        <v>0.01</v>
      </c>
      <c r="J432" s="261">
        <v>2.36</v>
      </c>
      <c r="K432" s="261">
        <v>2.93</v>
      </c>
      <c r="L432" s="263">
        <v>5.1</v>
      </c>
      <c r="M432" s="252">
        <v>111</v>
      </c>
      <c r="N432" s="261">
        <v>3.03</v>
      </c>
      <c r="O432" s="263">
        <v>1.1</v>
      </c>
      <c r="P432" s="263">
        <v>1.7</v>
      </c>
      <c r="Q432" s="263">
        <v>6.2</v>
      </c>
    </row>
    <row r="433" spans="1:17" ht="12.75">
      <c r="A433" s="251" t="str">
        <f>HYPERLINK("http://ct.wwsires.com/bull/250HO01066","BIG KAHUNA")</f>
        <v>BIG KAHUNA</v>
      </c>
      <c r="B433" t="s">
        <v>811</v>
      </c>
      <c r="C433" t="s">
        <v>812</v>
      </c>
      <c r="D433">
        <v>2226</v>
      </c>
      <c r="E433">
        <v>1093</v>
      </c>
      <c r="F433">
        <v>47</v>
      </c>
      <c r="G433" s="261">
        <v>0.02</v>
      </c>
      <c r="H433">
        <v>41</v>
      </c>
      <c r="I433" s="261">
        <v>0.03</v>
      </c>
      <c r="J433" s="261">
        <v>1.78</v>
      </c>
      <c r="K433" s="261">
        <v>1.75</v>
      </c>
      <c r="L433" s="263">
        <v>4.2</v>
      </c>
      <c r="M433" s="252">
        <v>110</v>
      </c>
      <c r="N433" s="261">
        <v>2.94</v>
      </c>
      <c r="O433" s="263">
        <v>0.3</v>
      </c>
      <c r="P433" s="263">
        <v>0</v>
      </c>
      <c r="Q433" s="263">
        <v>6.3</v>
      </c>
    </row>
    <row r="434" spans="1:17" ht="12.75">
      <c r="A434" s="251" t="str">
        <f>HYPERLINK("http://ct.wwsires.com/bull/7HO12199","USHER")</f>
        <v>USHER</v>
      </c>
      <c r="B434" t="s">
        <v>813</v>
      </c>
      <c r="C434" t="s">
        <v>814</v>
      </c>
      <c r="D434">
        <v>2432</v>
      </c>
      <c r="E434">
        <v>160</v>
      </c>
      <c r="F434">
        <v>62</v>
      </c>
      <c r="G434" s="261">
        <v>0.2</v>
      </c>
      <c r="H434">
        <v>26</v>
      </c>
      <c r="I434" s="261">
        <v>0.08</v>
      </c>
      <c r="J434" s="261">
        <v>2.15</v>
      </c>
      <c r="K434" s="261">
        <v>1.92</v>
      </c>
      <c r="L434" s="263">
        <v>4.4</v>
      </c>
      <c r="M434" s="252">
        <v>110</v>
      </c>
      <c r="N434" s="261">
        <v>2.7199999999999998</v>
      </c>
      <c r="O434" s="263">
        <v>1.5</v>
      </c>
      <c r="P434" s="263">
        <v>1.3</v>
      </c>
      <c r="Q434" s="263">
        <v>6.4</v>
      </c>
    </row>
    <row r="435" spans="1:17" ht="12.75">
      <c r="A435" s="251" t="str">
        <f>HYPERLINK("http://ct.wwsires.com/bull/7HO12184","DAREDEVIL")</f>
        <v>DAREDEVIL</v>
      </c>
      <c r="B435" t="s">
        <v>815</v>
      </c>
      <c r="C435" t="s">
        <v>816</v>
      </c>
      <c r="D435">
        <v>2409</v>
      </c>
      <c r="E435">
        <v>991</v>
      </c>
      <c r="F435">
        <v>48</v>
      </c>
      <c r="G435" s="261">
        <v>0.04</v>
      </c>
      <c r="H435">
        <v>34</v>
      </c>
      <c r="I435" s="261">
        <v>0.01</v>
      </c>
      <c r="J435" s="261">
        <v>2.41</v>
      </c>
      <c r="K435" s="261">
        <v>2.26</v>
      </c>
      <c r="L435" s="263">
        <v>4.7</v>
      </c>
      <c r="M435" s="252">
        <v>110</v>
      </c>
      <c r="N435" s="261">
        <v>2.68</v>
      </c>
      <c r="O435" s="263">
        <v>1.2</v>
      </c>
      <c r="P435" s="263">
        <v>1.3</v>
      </c>
      <c r="Q435" s="263">
        <v>8.4</v>
      </c>
    </row>
    <row r="436" spans="1:17" ht="12.75">
      <c r="A436" s="251" t="str">
        <f>HYPERLINK("http://ct.wwsires.com/bull/250HO12563","ANCHORMAN")</f>
        <v>ANCHORMAN</v>
      </c>
      <c r="B436" t="s">
        <v>817</v>
      </c>
      <c r="C436" t="s">
        <v>818</v>
      </c>
      <c r="D436">
        <v>2453</v>
      </c>
      <c r="E436">
        <v>1222</v>
      </c>
      <c r="F436">
        <v>32</v>
      </c>
      <c r="G436" s="261">
        <v>-0.05</v>
      </c>
      <c r="H436">
        <v>51</v>
      </c>
      <c r="I436" s="261">
        <v>0.05</v>
      </c>
      <c r="J436" s="261">
        <v>2.41</v>
      </c>
      <c r="K436" s="261">
        <v>2.04</v>
      </c>
      <c r="L436" s="263">
        <v>5.1</v>
      </c>
      <c r="M436" s="252">
        <v>109</v>
      </c>
      <c r="N436" s="261">
        <v>2.81</v>
      </c>
      <c r="O436" s="263">
        <v>2.3</v>
      </c>
      <c r="P436" s="263">
        <v>1.8</v>
      </c>
      <c r="Q436" s="263">
        <v>8</v>
      </c>
    </row>
    <row r="437" spans="1:17" ht="12.75">
      <c r="A437" s="251" t="str">
        <f>HYPERLINK("http://ct.wwsires.com/bull/7HO13519","PAY DAY")</f>
        <v>PAY DAY</v>
      </c>
      <c r="B437" t="s">
        <v>819</v>
      </c>
      <c r="C437" t="s">
        <v>820</v>
      </c>
      <c r="D437">
        <v>2566</v>
      </c>
      <c r="E437">
        <v>1082</v>
      </c>
      <c r="F437">
        <v>43</v>
      </c>
      <c r="G437" s="261">
        <v>0.01</v>
      </c>
      <c r="H437">
        <v>46</v>
      </c>
      <c r="I437" s="261">
        <v>0.05</v>
      </c>
      <c r="J437" s="261">
        <v>1.46</v>
      </c>
      <c r="K437" s="261">
        <v>1.6400000000000001</v>
      </c>
      <c r="L437" s="263">
        <v>8.1</v>
      </c>
      <c r="M437" s="252">
        <v>109</v>
      </c>
      <c r="N437" s="261">
        <v>2.7</v>
      </c>
      <c r="O437" s="263">
        <v>4.3</v>
      </c>
      <c r="P437" s="263">
        <v>4.2</v>
      </c>
      <c r="Q437" s="263">
        <v>7.6</v>
      </c>
    </row>
    <row r="438" spans="1:17" ht="12.75">
      <c r="A438" s="251" t="str">
        <f>HYPERLINK("http://ct.wwsires.com/bull/14HO07835","LUCKY PP-RED")</f>
        <v>LUCKY PP-RED</v>
      </c>
      <c r="B438" t="s">
        <v>821</v>
      </c>
      <c r="C438" t="s">
        <v>822</v>
      </c>
      <c r="D438">
        <v>2479</v>
      </c>
      <c r="E438">
        <v>693</v>
      </c>
      <c r="F438">
        <v>38</v>
      </c>
      <c r="G438" s="261">
        <v>0.05</v>
      </c>
      <c r="H438">
        <v>37</v>
      </c>
      <c r="I438" s="261">
        <v>0.06</v>
      </c>
      <c r="J438" s="261">
        <v>1.12</v>
      </c>
      <c r="K438" s="261">
        <v>1.8399999999999999</v>
      </c>
      <c r="L438" s="263">
        <v>8.7</v>
      </c>
      <c r="M438" s="252">
        <v>109</v>
      </c>
      <c r="N438" s="261">
        <v>2.68</v>
      </c>
      <c r="O438" s="263">
        <v>3</v>
      </c>
      <c r="P438" s="263">
        <v>3</v>
      </c>
      <c r="Q438" s="263">
        <v>5.5</v>
      </c>
    </row>
    <row r="439" spans="1:17" ht="12.75">
      <c r="A439" s="251" t="str">
        <f>HYPERLINK("http://ct.wwsires.com/bull/7HO13939","STARR-P")</f>
        <v>STARR-P</v>
      </c>
      <c r="B439" t="s">
        <v>823</v>
      </c>
      <c r="C439" t="s">
        <v>824</v>
      </c>
      <c r="D439">
        <v>2510</v>
      </c>
      <c r="E439">
        <v>813</v>
      </c>
      <c r="F439">
        <v>54</v>
      </c>
      <c r="G439" s="261">
        <v>0.08</v>
      </c>
      <c r="H439">
        <v>31</v>
      </c>
      <c r="I439" s="261">
        <v>0.03</v>
      </c>
      <c r="J439" s="261">
        <v>1.33</v>
      </c>
      <c r="K439" s="261">
        <v>1.85</v>
      </c>
      <c r="L439" s="263">
        <v>9.3</v>
      </c>
      <c r="M439" s="252">
        <v>109</v>
      </c>
      <c r="N439" s="261">
        <v>2.7800000000000002</v>
      </c>
      <c r="O439" s="263">
        <v>3.6</v>
      </c>
      <c r="P439" s="263">
        <v>3.3</v>
      </c>
      <c r="Q439" s="263">
        <v>5.8</v>
      </c>
    </row>
    <row r="440" spans="1:17" ht="12.75">
      <c r="A440" s="251" t="str">
        <f>HYPERLINK("http://ct.wwsires.com/bull/714HO00034","ZOOM")</f>
        <v>ZOOM</v>
      </c>
      <c r="B440" t="s">
        <v>825</v>
      </c>
      <c r="C440" t="s">
        <v>826</v>
      </c>
      <c r="D440">
        <v>2247</v>
      </c>
      <c r="E440">
        <v>1238</v>
      </c>
      <c r="F440">
        <v>48</v>
      </c>
      <c r="G440" s="261">
        <v>0.01</v>
      </c>
      <c r="H440">
        <v>41</v>
      </c>
      <c r="I440" s="261">
        <v>0.01</v>
      </c>
      <c r="J440" s="261">
        <v>1.42</v>
      </c>
      <c r="K440" s="261">
        <v>1.43</v>
      </c>
      <c r="L440" s="263">
        <v>4.8</v>
      </c>
      <c r="M440" s="252">
        <v>108</v>
      </c>
      <c r="N440" s="261">
        <v>2.9699999999999998</v>
      </c>
      <c r="O440" s="263">
        <v>0.6</v>
      </c>
      <c r="P440" s="263">
        <v>0.9</v>
      </c>
      <c r="Q440" s="263">
        <v>6.7</v>
      </c>
    </row>
    <row r="441" spans="1:17" ht="12.75">
      <c r="A441" s="251" t="str">
        <f>HYPERLINK("http://ct.wwsires.com/bull/7HO11207","PUNCH")</f>
        <v>PUNCH</v>
      </c>
      <c r="B441" t="s">
        <v>827</v>
      </c>
      <c r="C441" t="s">
        <v>828</v>
      </c>
      <c r="D441">
        <v>2417</v>
      </c>
      <c r="E441">
        <v>524</v>
      </c>
      <c r="F441">
        <v>55</v>
      </c>
      <c r="G441" s="261">
        <v>0.13</v>
      </c>
      <c r="H441">
        <v>39</v>
      </c>
      <c r="I441" s="261">
        <v>0.08</v>
      </c>
      <c r="J441" s="261">
        <v>1.51</v>
      </c>
      <c r="K441" s="261">
        <v>1.05</v>
      </c>
      <c r="L441" s="263">
        <v>3.4</v>
      </c>
      <c r="M441" s="252">
        <v>108</v>
      </c>
      <c r="N441" s="261">
        <v>2.89</v>
      </c>
      <c r="O441" s="263">
        <v>3.9</v>
      </c>
      <c r="P441" s="263">
        <v>4.2</v>
      </c>
      <c r="Q441" s="263">
        <v>7.7</v>
      </c>
    </row>
    <row r="442" spans="1:17" ht="12.75">
      <c r="A442" s="251" t="str">
        <f>HYPERLINK("http://ct.wwsires.com/bull/14HO07761","ACCELMARQUIS")</f>
        <v>ACCELMARQUIS</v>
      </c>
      <c r="B442" t="s">
        <v>829</v>
      </c>
      <c r="C442" t="s">
        <v>830</v>
      </c>
      <c r="D442">
        <v>2546</v>
      </c>
      <c r="E442">
        <v>822</v>
      </c>
      <c r="F442">
        <v>52</v>
      </c>
      <c r="G442" s="261">
        <v>0.07</v>
      </c>
      <c r="H442">
        <v>34</v>
      </c>
      <c r="I442" s="261">
        <v>0.04</v>
      </c>
      <c r="J442" s="261">
        <v>1.3599999999999999</v>
      </c>
      <c r="K442" s="261">
        <v>1.43</v>
      </c>
      <c r="L442" s="263">
        <v>8.7</v>
      </c>
      <c r="M442" s="252">
        <v>108</v>
      </c>
      <c r="N442" s="261">
        <v>2.55</v>
      </c>
      <c r="O442" s="263">
        <v>4.1</v>
      </c>
      <c r="P442" s="263">
        <v>4.2</v>
      </c>
      <c r="Q442" s="263">
        <v>5.9</v>
      </c>
    </row>
    <row r="443" spans="1:17" ht="12.75">
      <c r="A443" s="251" t="str">
        <f>HYPERLINK("http://ct.wwsires.com/bull/14HO07475","RORY-RED")</f>
        <v>RORY-RED</v>
      </c>
      <c r="B443" t="s">
        <v>831</v>
      </c>
      <c r="C443" t="s">
        <v>636</v>
      </c>
      <c r="D443">
        <v>2203</v>
      </c>
      <c r="E443">
        <v>-34</v>
      </c>
      <c r="F443">
        <v>44</v>
      </c>
      <c r="G443" s="261">
        <v>0.17</v>
      </c>
      <c r="H443">
        <v>27</v>
      </c>
      <c r="I443" s="261">
        <v>0.11</v>
      </c>
      <c r="J443" s="261">
        <v>0.61</v>
      </c>
      <c r="K443" s="261">
        <v>1.04</v>
      </c>
      <c r="L443" s="263">
        <v>2.5</v>
      </c>
      <c r="M443" s="252">
        <v>108</v>
      </c>
      <c r="N443" s="261">
        <v>2.86</v>
      </c>
      <c r="O443" s="263">
        <v>2.5</v>
      </c>
      <c r="P443" s="263">
        <v>2.1</v>
      </c>
      <c r="Q443" s="263">
        <v>6.4</v>
      </c>
    </row>
    <row r="444" spans="1:17" ht="12.75">
      <c r="A444" s="251" t="str">
        <f>HYPERLINK("http://ct.wwsires.com/bull/7HO11983","MAGICDAY")</f>
        <v>MAGICDAY</v>
      </c>
      <c r="B444" t="s">
        <v>832</v>
      </c>
      <c r="C444" t="s">
        <v>833</v>
      </c>
      <c r="D444">
        <v>2325</v>
      </c>
      <c r="E444">
        <v>1334</v>
      </c>
      <c r="F444">
        <v>55</v>
      </c>
      <c r="G444" s="261">
        <v>0.02</v>
      </c>
      <c r="H444">
        <v>36</v>
      </c>
      <c r="I444" s="261">
        <v>-0.02</v>
      </c>
      <c r="J444" s="261">
        <v>0.63</v>
      </c>
      <c r="K444" s="261">
        <v>1.33</v>
      </c>
      <c r="L444" s="263">
        <v>6.9</v>
      </c>
      <c r="M444" s="252">
        <v>107</v>
      </c>
      <c r="N444" s="261">
        <v>2.76</v>
      </c>
      <c r="O444" s="263">
        <v>1.2</v>
      </c>
      <c r="P444" s="263">
        <v>1</v>
      </c>
      <c r="Q444" s="263">
        <v>7.9</v>
      </c>
    </row>
    <row r="445" spans="1:17" ht="12.75">
      <c r="A445" s="251" t="str">
        <f>HYPERLINK("http://ct.wwsires.com/bull/14HO07845","ASTROLOGER-RED")</f>
        <v>ASTROLOGER-RED</v>
      </c>
      <c r="B445" t="s">
        <v>834</v>
      </c>
      <c r="C445" t="s">
        <v>835</v>
      </c>
      <c r="D445">
        <v>2419</v>
      </c>
      <c r="E445">
        <v>947</v>
      </c>
      <c r="F445">
        <v>46</v>
      </c>
      <c r="G445" s="261">
        <v>0.04</v>
      </c>
      <c r="H445">
        <v>36</v>
      </c>
      <c r="I445" s="261">
        <v>0.03</v>
      </c>
      <c r="J445" s="261">
        <v>2.17</v>
      </c>
      <c r="K445" s="261">
        <v>2.63</v>
      </c>
      <c r="L445" s="263">
        <v>5.5</v>
      </c>
      <c r="M445" s="252">
        <v>107</v>
      </c>
      <c r="N445" s="261">
        <v>2.74</v>
      </c>
      <c r="O445" s="263">
        <v>1.8</v>
      </c>
      <c r="P445" s="263">
        <v>1.3</v>
      </c>
      <c r="Q445" s="263">
        <v>8.4</v>
      </c>
    </row>
    <row r="446" spans="1:17" ht="12.75">
      <c r="A446" s="251" t="str">
        <f>HYPERLINK("http://ct.wwsires.com/bull/7HO11915","MULTIPLY")</f>
        <v>MULTIPLY</v>
      </c>
      <c r="B446" t="s">
        <v>836</v>
      </c>
      <c r="C446" t="s">
        <v>837</v>
      </c>
      <c r="D446">
        <v>2514</v>
      </c>
      <c r="E446">
        <v>33</v>
      </c>
      <c r="F446">
        <v>54</v>
      </c>
      <c r="G446" s="261">
        <v>0.19</v>
      </c>
      <c r="H446">
        <v>23</v>
      </c>
      <c r="I446" s="261">
        <v>0.08</v>
      </c>
      <c r="J446" s="261">
        <v>1.31</v>
      </c>
      <c r="K446" s="261">
        <v>2.43</v>
      </c>
      <c r="L446" s="263">
        <v>7.3</v>
      </c>
      <c r="M446" s="252">
        <v>107</v>
      </c>
      <c r="N446" s="261">
        <v>2.7800000000000002</v>
      </c>
      <c r="O446" s="263">
        <v>3.6</v>
      </c>
      <c r="P446" s="263">
        <v>3.3</v>
      </c>
      <c r="Q446" s="263">
        <v>6</v>
      </c>
    </row>
    <row r="447" spans="1:17" ht="12.75">
      <c r="A447" s="251" t="str">
        <f>HYPERLINK("http://ct.wwsires.com/bull/714HO00049","MERCATO")</f>
        <v>MERCATO</v>
      </c>
      <c r="B447" t="s">
        <v>838</v>
      </c>
      <c r="C447" t="s">
        <v>839</v>
      </c>
      <c r="D447">
        <v>2484</v>
      </c>
      <c r="E447">
        <v>720</v>
      </c>
      <c r="F447">
        <v>42</v>
      </c>
      <c r="G447" s="261">
        <v>0.06</v>
      </c>
      <c r="H447">
        <v>35</v>
      </c>
      <c r="I447" s="261">
        <v>0.05</v>
      </c>
      <c r="J447" s="261">
        <v>2.25</v>
      </c>
      <c r="K447" s="261">
        <v>1.73</v>
      </c>
      <c r="L447" s="263">
        <v>7.4</v>
      </c>
      <c r="M447" s="252">
        <v>107</v>
      </c>
      <c r="N447" s="261">
        <v>2.8</v>
      </c>
      <c r="O447" s="263">
        <v>3.8</v>
      </c>
      <c r="P447" s="263">
        <v>4.1</v>
      </c>
      <c r="Q447" s="263">
        <v>6.8</v>
      </c>
    </row>
    <row r="448" spans="1:17" ht="12.75">
      <c r="A448" s="251" t="str">
        <f>HYPERLINK("http://ct.wwsires.com/bull/7HO12327","SMEAGOL")</f>
        <v>SMEAGOL</v>
      </c>
      <c r="B448" t="s">
        <v>840</v>
      </c>
      <c r="C448" t="s">
        <v>841</v>
      </c>
      <c r="D448">
        <v>2412</v>
      </c>
      <c r="E448">
        <v>455</v>
      </c>
      <c r="F448">
        <v>44</v>
      </c>
      <c r="G448" s="261">
        <v>0.1</v>
      </c>
      <c r="H448">
        <v>35</v>
      </c>
      <c r="I448" s="261">
        <v>0.07</v>
      </c>
      <c r="J448" s="261">
        <v>2.46</v>
      </c>
      <c r="K448" s="261">
        <v>2.55</v>
      </c>
      <c r="L448" s="263">
        <v>5.3</v>
      </c>
      <c r="M448" s="252">
        <v>106</v>
      </c>
      <c r="N448" s="261">
        <v>2.91</v>
      </c>
      <c r="O448" s="263">
        <v>1.1</v>
      </c>
      <c r="P448" s="263">
        <v>1.1</v>
      </c>
      <c r="Q448" s="263">
        <v>6.8</v>
      </c>
    </row>
    <row r="449" spans="1:17" ht="12.75">
      <c r="A449" s="251" t="str">
        <f>HYPERLINK("http://ct.wwsires.com/bull/7HO12357","PENLEY")</f>
        <v>PENLEY</v>
      </c>
      <c r="B449" t="s">
        <v>842</v>
      </c>
      <c r="C449" t="s">
        <v>843</v>
      </c>
      <c r="D449">
        <v>2495</v>
      </c>
      <c r="E449">
        <v>1167</v>
      </c>
      <c r="F449">
        <v>49</v>
      </c>
      <c r="G449" s="261">
        <v>0.02</v>
      </c>
      <c r="H449">
        <v>43</v>
      </c>
      <c r="I449" s="261">
        <v>0.02</v>
      </c>
      <c r="J449" s="261">
        <v>1.13</v>
      </c>
      <c r="K449" s="261">
        <v>0.93</v>
      </c>
      <c r="L449" s="263">
        <v>9.1</v>
      </c>
      <c r="M449" s="252">
        <v>106</v>
      </c>
      <c r="N449" s="261">
        <v>2.33</v>
      </c>
      <c r="O449" s="263">
        <v>2.8</v>
      </c>
      <c r="P449" s="263">
        <v>2.4</v>
      </c>
      <c r="Q449" s="263">
        <v>6.9</v>
      </c>
    </row>
    <row r="450" spans="1:17" ht="12.75">
      <c r="A450" s="251" t="str">
        <f>HYPERLINK("http://ct.wwsires.com/bull/14HO07691","MONEY MAKER")</f>
        <v>MONEY MAKER</v>
      </c>
      <c r="B450" t="s">
        <v>844</v>
      </c>
      <c r="C450" t="s">
        <v>845</v>
      </c>
      <c r="D450">
        <v>2440</v>
      </c>
      <c r="E450">
        <v>167</v>
      </c>
      <c r="F450">
        <v>58</v>
      </c>
      <c r="G450" s="261">
        <v>0.19</v>
      </c>
      <c r="H450">
        <v>24</v>
      </c>
      <c r="I450" s="261">
        <v>0.07</v>
      </c>
      <c r="J450" s="261">
        <v>2.02</v>
      </c>
      <c r="K450" s="261">
        <v>1.9300000000000002</v>
      </c>
      <c r="L450" s="263">
        <v>5.2</v>
      </c>
      <c r="M450" s="252">
        <v>106</v>
      </c>
      <c r="N450" s="261">
        <v>2.83</v>
      </c>
      <c r="O450" s="263">
        <v>3.5</v>
      </c>
      <c r="P450" s="263">
        <v>3.5</v>
      </c>
      <c r="Q450" s="263">
        <v>7.3</v>
      </c>
    </row>
    <row r="451" spans="1:17" ht="12.75">
      <c r="A451" s="251" t="str">
        <f>HYPERLINK("http://ct.wwsires.com/bull/7HO12020","CRABTREE")</f>
        <v>CRABTREE</v>
      </c>
      <c r="B451" t="s">
        <v>846</v>
      </c>
      <c r="C451" t="s">
        <v>847</v>
      </c>
      <c r="D451">
        <v>2295</v>
      </c>
      <c r="E451">
        <v>1643</v>
      </c>
      <c r="F451">
        <v>52</v>
      </c>
      <c r="G451" s="261">
        <v>-0.03</v>
      </c>
      <c r="H451">
        <v>38</v>
      </c>
      <c r="I451" s="261">
        <v>-0.04</v>
      </c>
      <c r="J451" s="261">
        <v>0.82</v>
      </c>
      <c r="K451" s="261">
        <v>0.8</v>
      </c>
      <c r="L451" s="263">
        <v>7.3</v>
      </c>
      <c r="M451" s="252">
        <v>106</v>
      </c>
      <c r="N451" s="261">
        <v>2.64</v>
      </c>
      <c r="O451" s="263">
        <v>0.5</v>
      </c>
      <c r="P451" s="263">
        <v>0.3</v>
      </c>
      <c r="Q451" s="263">
        <v>4.8</v>
      </c>
    </row>
    <row r="452" spans="1:17" ht="12.75">
      <c r="A452" s="251" t="str">
        <f>HYPERLINK("http://ct.wwsires.com/bull/14HO06678","CLAY")</f>
        <v>CLAY</v>
      </c>
      <c r="B452" t="s">
        <v>848</v>
      </c>
      <c r="C452" t="s">
        <v>849</v>
      </c>
      <c r="D452">
        <v>2262</v>
      </c>
      <c r="E452">
        <v>560</v>
      </c>
      <c r="F452">
        <v>59</v>
      </c>
      <c r="G452" s="261">
        <v>0.14</v>
      </c>
      <c r="H452">
        <v>25</v>
      </c>
      <c r="I452" s="261">
        <v>0.03</v>
      </c>
      <c r="J452" s="261">
        <v>0.83</v>
      </c>
      <c r="K452" s="261">
        <v>1.11</v>
      </c>
      <c r="L452" s="263">
        <v>3.2</v>
      </c>
      <c r="M452" s="252">
        <v>106</v>
      </c>
      <c r="N452" s="261">
        <v>2.7800000000000002</v>
      </c>
      <c r="O452" s="263">
        <v>2.6</v>
      </c>
      <c r="P452" s="263">
        <v>2.5</v>
      </c>
      <c r="Q452" s="263">
        <v>8.5</v>
      </c>
    </row>
    <row r="453" spans="1:17" ht="12.75">
      <c r="A453" s="251" t="str">
        <f>HYPERLINK("http://ct.wwsires.com/bull/7HO10848","GRAFEETI")</f>
        <v>GRAFEETI</v>
      </c>
      <c r="B453" t="s">
        <v>850</v>
      </c>
      <c r="C453" t="s">
        <v>851</v>
      </c>
      <c r="D453">
        <v>2230</v>
      </c>
      <c r="E453">
        <v>223</v>
      </c>
      <c r="F453">
        <v>49</v>
      </c>
      <c r="G453" s="261">
        <v>0.15</v>
      </c>
      <c r="H453">
        <v>20</v>
      </c>
      <c r="I453" s="261">
        <v>0.05</v>
      </c>
      <c r="J453" s="261">
        <v>0.91</v>
      </c>
      <c r="K453" s="261">
        <v>1.98</v>
      </c>
      <c r="L453" s="263">
        <v>3.2</v>
      </c>
      <c r="M453" s="252">
        <v>104</v>
      </c>
      <c r="N453" s="261">
        <v>2.82</v>
      </c>
      <c r="O453" s="263">
        <v>0.9</v>
      </c>
      <c r="P453" s="263">
        <v>0.4</v>
      </c>
      <c r="Q453" s="263">
        <v>6.8</v>
      </c>
    </row>
    <row r="454" spans="1:17" ht="12.75">
      <c r="A454" s="251" t="str">
        <f>HYPERLINK("http://ct.wwsires.com/bull/14HO07661","RAMMER")</f>
        <v>RAMMER</v>
      </c>
      <c r="B454" t="s">
        <v>852</v>
      </c>
      <c r="C454" t="s">
        <v>853</v>
      </c>
      <c r="D454">
        <v>2463</v>
      </c>
      <c r="E454">
        <v>668</v>
      </c>
      <c r="F454">
        <v>39</v>
      </c>
      <c r="G454" s="261">
        <v>0.05</v>
      </c>
      <c r="H454">
        <v>31</v>
      </c>
      <c r="I454" s="261">
        <v>0.04</v>
      </c>
      <c r="J454" s="261">
        <v>1.11</v>
      </c>
      <c r="K454" s="261">
        <v>1.6800000000000002</v>
      </c>
      <c r="L454" s="263">
        <v>8</v>
      </c>
      <c r="M454" s="252">
        <v>104</v>
      </c>
      <c r="N454" s="261">
        <v>2.79</v>
      </c>
      <c r="O454" s="263">
        <v>4.5</v>
      </c>
      <c r="P454" s="263">
        <v>4.3</v>
      </c>
      <c r="Q454" s="263">
        <v>6.6</v>
      </c>
    </row>
    <row r="455" spans="1:17" ht="12.75">
      <c r="A455" s="251" t="str">
        <f>HYPERLINK("http://ct.wwsires.com/bull/7HO12084","HARVIN")</f>
        <v>HARVIN</v>
      </c>
      <c r="B455" t="s">
        <v>854</v>
      </c>
      <c r="C455" t="s">
        <v>855</v>
      </c>
      <c r="D455">
        <v>2239</v>
      </c>
      <c r="E455">
        <v>1070</v>
      </c>
      <c r="F455">
        <v>44</v>
      </c>
      <c r="G455" s="261">
        <v>0.01</v>
      </c>
      <c r="H455">
        <v>46</v>
      </c>
      <c r="I455" s="261">
        <v>0.05</v>
      </c>
      <c r="J455" s="261">
        <v>2.84</v>
      </c>
      <c r="K455" s="261">
        <v>2.02</v>
      </c>
      <c r="L455" s="263">
        <v>-0.2</v>
      </c>
      <c r="M455" s="252">
        <v>104</v>
      </c>
      <c r="N455" s="261">
        <v>2.96</v>
      </c>
      <c r="O455" s="263">
        <v>-0.5</v>
      </c>
      <c r="P455" s="263">
        <v>-0.8</v>
      </c>
      <c r="Q455" s="263">
        <v>7.9</v>
      </c>
    </row>
    <row r="456" spans="1:17" ht="12.75">
      <c r="A456" s="251" t="str">
        <f>HYPERLINK("http://ct.wwsires.com/bull/7HO10721","BOOKEM")</f>
        <v>BOOKEM</v>
      </c>
      <c r="B456" t="s">
        <v>856</v>
      </c>
      <c r="C456" t="s">
        <v>857</v>
      </c>
      <c r="D456">
        <v>2327</v>
      </c>
      <c r="E456">
        <v>1302</v>
      </c>
      <c r="F456">
        <v>29</v>
      </c>
      <c r="G456" s="261">
        <v>-0.07</v>
      </c>
      <c r="H456">
        <v>48</v>
      </c>
      <c r="I456" s="261">
        <v>0.03</v>
      </c>
      <c r="J456" s="261">
        <v>1.48</v>
      </c>
      <c r="K456" s="261">
        <v>1.23</v>
      </c>
      <c r="L456" s="263">
        <v>4.9</v>
      </c>
      <c r="M456" s="252">
        <v>103</v>
      </c>
      <c r="N456" s="261">
        <v>2.84</v>
      </c>
      <c r="O456" s="263">
        <v>1.7</v>
      </c>
      <c r="P456" s="263">
        <v>0.9</v>
      </c>
      <c r="Q456" s="263">
        <v>6.6</v>
      </c>
    </row>
    <row r="457" spans="1:17" ht="12.75">
      <c r="A457" s="251" t="str">
        <f>HYPERLINK("http://ct.wwsires.com/bull/14HO07638","GAME CHANGER")</f>
        <v>GAME CHANGER</v>
      </c>
      <c r="B457" t="s">
        <v>858</v>
      </c>
      <c r="C457" t="s">
        <v>859</v>
      </c>
      <c r="D457">
        <v>2377</v>
      </c>
      <c r="E457">
        <v>523</v>
      </c>
      <c r="F457">
        <v>55</v>
      </c>
      <c r="G457" s="261">
        <v>0.13</v>
      </c>
      <c r="H457">
        <v>32</v>
      </c>
      <c r="I457" s="261">
        <v>0.06</v>
      </c>
      <c r="J457" s="261">
        <v>1.4</v>
      </c>
      <c r="K457" s="261">
        <v>0.71</v>
      </c>
      <c r="L457" s="263">
        <v>4.9</v>
      </c>
      <c r="M457" s="252">
        <v>103</v>
      </c>
      <c r="N457" s="261">
        <v>2.7199999999999998</v>
      </c>
      <c r="O457" s="263">
        <v>3.7</v>
      </c>
      <c r="P457" s="263">
        <v>3.8</v>
      </c>
      <c r="Q457" s="263">
        <v>5.8</v>
      </c>
    </row>
    <row r="458" spans="1:17" ht="12.75">
      <c r="A458" s="251" t="str">
        <f>HYPERLINK("http://ct.wwsires.com/bull/14HO07776","RAV")</f>
        <v>RAV</v>
      </c>
      <c r="B458" t="s">
        <v>860</v>
      </c>
      <c r="C458" t="s">
        <v>861</v>
      </c>
      <c r="D458">
        <v>2578</v>
      </c>
      <c r="E458">
        <v>502</v>
      </c>
      <c r="F458">
        <v>39</v>
      </c>
      <c r="G458" s="261">
        <v>0.08</v>
      </c>
      <c r="H458">
        <v>33</v>
      </c>
      <c r="I458" s="261">
        <v>0.06</v>
      </c>
      <c r="J458" s="261">
        <v>2.45</v>
      </c>
      <c r="K458" s="261">
        <v>2.7800000000000002</v>
      </c>
      <c r="L458" s="263">
        <v>8.9</v>
      </c>
      <c r="M458" s="252">
        <v>103</v>
      </c>
      <c r="N458" s="261">
        <v>2.63</v>
      </c>
      <c r="O458" s="263">
        <v>3.6</v>
      </c>
      <c r="P458" s="263">
        <v>3.5</v>
      </c>
      <c r="Q458" s="263">
        <v>7.1</v>
      </c>
    </row>
    <row r="459" spans="1:17" ht="12.75">
      <c r="A459" s="251" t="str">
        <f>HYPERLINK("http://ct.wwsires.com/bull/7HO12322","DELFINO")</f>
        <v>DELFINO</v>
      </c>
      <c r="B459" t="s">
        <v>862</v>
      </c>
      <c r="C459" t="s">
        <v>863</v>
      </c>
      <c r="D459">
        <v>2417</v>
      </c>
      <c r="E459">
        <v>546</v>
      </c>
      <c r="F459">
        <v>32</v>
      </c>
      <c r="G459" s="261">
        <v>0.05</v>
      </c>
      <c r="H459">
        <v>30</v>
      </c>
      <c r="I459" s="261">
        <v>0.05</v>
      </c>
      <c r="J459" s="261">
        <v>1.75</v>
      </c>
      <c r="K459" s="261">
        <v>2.6</v>
      </c>
      <c r="L459" s="263">
        <v>7</v>
      </c>
      <c r="M459" s="252">
        <v>102</v>
      </c>
      <c r="N459" s="261">
        <v>2.65</v>
      </c>
      <c r="O459" s="263">
        <v>1.9</v>
      </c>
      <c r="P459" s="263">
        <v>1.6</v>
      </c>
      <c r="Q459" s="263">
        <v>6.1</v>
      </c>
    </row>
    <row r="460" spans="1:17" ht="12.75">
      <c r="A460" s="251" t="str">
        <f>HYPERLINK("http://ct.wwsires.com/bull/14HO07735","ZINGER*RC")</f>
        <v>ZINGER*RC</v>
      </c>
      <c r="B460" t="s">
        <v>864</v>
      </c>
      <c r="C460" t="s">
        <v>865</v>
      </c>
      <c r="D460">
        <v>2446</v>
      </c>
      <c r="E460">
        <v>1371</v>
      </c>
      <c r="F460">
        <v>37</v>
      </c>
      <c r="G460" s="261">
        <v>-0.05</v>
      </c>
      <c r="H460">
        <v>43</v>
      </c>
      <c r="I460" s="261">
        <v>0.01</v>
      </c>
      <c r="J460" s="261">
        <v>2.43</v>
      </c>
      <c r="K460" s="261">
        <v>2.1</v>
      </c>
      <c r="L460" s="263">
        <v>5.4</v>
      </c>
      <c r="M460" s="252">
        <v>102</v>
      </c>
      <c r="N460" s="261">
        <v>2.86</v>
      </c>
      <c r="O460" s="263">
        <v>2.1</v>
      </c>
      <c r="P460" s="263">
        <v>1.6</v>
      </c>
      <c r="Q460" s="263">
        <v>6</v>
      </c>
    </row>
    <row r="461" spans="1:17" ht="12.75">
      <c r="A461" s="251" t="str">
        <f>HYPERLINK("http://ct.wwsires.com/bull/7HO12228","KINGPIN")</f>
        <v>KINGPIN</v>
      </c>
      <c r="B461" t="s">
        <v>866</v>
      </c>
      <c r="C461" t="s">
        <v>867</v>
      </c>
      <c r="D461">
        <v>2462</v>
      </c>
      <c r="E461">
        <v>767</v>
      </c>
      <c r="F461">
        <v>58</v>
      </c>
      <c r="G461" s="261">
        <v>0.11</v>
      </c>
      <c r="H461">
        <v>34</v>
      </c>
      <c r="I461" s="261">
        <v>0.04</v>
      </c>
      <c r="J461" s="261">
        <v>2.71</v>
      </c>
      <c r="K461" s="261">
        <v>1.92</v>
      </c>
      <c r="L461" s="263">
        <v>5.1</v>
      </c>
      <c r="M461" s="252">
        <v>101</v>
      </c>
      <c r="N461" s="261">
        <v>2.65</v>
      </c>
      <c r="O461" s="263">
        <v>1.8</v>
      </c>
      <c r="P461" s="263">
        <v>1.9</v>
      </c>
      <c r="Q461" s="263">
        <v>7.6</v>
      </c>
    </row>
    <row r="462" spans="1:17" ht="12.75">
      <c r="A462" s="251" t="str">
        <f>HYPERLINK("http://ct.wwsires.com/bull/714HO00033","SUNFLOWER")</f>
        <v>SUNFLOWER</v>
      </c>
      <c r="B462" t="s">
        <v>868</v>
      </c>
      <c r="C462" t="s">
        <v>869</v>
      </c>
      <c r="D462">
        <v>2075</v>
      </c>
      <c r="E462">
        <v>142</v>
      </c>
      <c r="F462">
        <v>51</v>
      </c>
      <c r="G462" s="261">
        <v>0.17</v>
      </c>
      <c r="H462">
        <v>26</v>
      </c>
      <c r="I462" s="261">
        <v>0.08</v>
      </c>
      <c r="J462" s="261">
        <v>1.8399999999999999</v>
      </c>
      <c r="K462" s="261">
        <v>0.94</v>
      </c>
      <c r="L462" s="263">
        <v>-0.3</v>
      </c>
      <c r="M462" s="252">
        <v>101</v>
      </c>
      <c r="N462" s="261">
        <v>3.06</v>
      </c>
      <c r="O462" s="263">
        <v>-0.5</v>
      </c>
      <c r="P462" s="263">
        <v>-0.2</v>
      </c>
      <c r="Q462" s="263">
        <v>7.2</v>
      </c>
    </row>
    <row r="463" spans="1:17" ht="12.75">
      <c r="A463" s="251" t="str">
        <f>HYPERLINK("http://ct.wwsires.com/bull/7HO13011","MISTER")</f>
        <v>MISTER</v>
      </c>
      <c r="B463" t="s">
        <v>870</v>
      </c>
      <c r="C463" t="s">
        <v>871</v>
      </c>
      <c r="D463">
        <v>2427</v>
      </c>
      <c r="E463">
        <v>462</v>
      </c>
      <c r="F463">
        <v>53</v>
      </c>
      <c r="G463" s="261">
        <v>0.13</v>
      </c>
      <c r="H463">
        <v>25</v>
      </c>
      <c r="I463" s="261">
        <v>0.04</v>
      </c>
      <c r="J463" s="261">
        <v>1.24</v>
      </c>
      <c r="K463" s="261">
        <v>0.81</v>
      </c>
      <c r="L463" s="263">
        <v>7.9</v>
      </c>
      <c r="M463" s="252">
        <v>101</v>
      </c>
      <c r="N463" s="261">
        <v>2.62</v>
      </c>
      <c r="O463" s="263">
        <v>4.7</v>
      </c>
      <c r="P463" s="263">
        <v>4.5</v>
      </c>
      <c r="Q463" s="263">
        <v>6.6</v>
      </c>
    </row>
    <row r="464" spans="1:17" ht="12.75">
      <c r="A464" s="251" t="str">
        <f>HYPERLINK("http://ct.wwsires.com/bull/7HO13505","PAPA P")</f>
        <v>PAPA P</v>
      </c>
      <c r="B464" t="s">
        <v>872</v>
      </c>
      <c r="C464" t="s">
        <v>873</v>
      </c>
      <c r="D464">
        <v>2428</v>
      </c>
      <c r="E464">
        <v>515</v>
      </c>
      <c r="F464">
        <v>42</v>
      </c>
      <c r="G464" s="261">
        <v>0.09</v>
      </c>
      <c r="H464">
        <v>37</v>
      </c>
      <c r="I464" s="261">
        <v>0.08</v>
      </c>
      <c r="J464" s="261">
        <v>1.09</v>
      </c>
      <c r="K464" s="261">
        <v>1.37</v>
      </c>
      <c r="L464" s="263">
        <v>8.6</v>
      </c>
      <c r="M464" s="252">
        <v>100</v>
      </c>
      <c r="N464" s="261">
        <v>2.57</v>
      </c>
      <c r="O464" s="263">
        <v>3.5</v>
      </c>
      <c r="P464" s="263">
        <v>3.4</v>
      </c>
      <c r="Q464" s="263">
        <v>8.1</v>
      </c>
    </row>
    <row r="465" spans="1:17" ht="12.75">
      <c r="A465" s="251" t="str">
        <f>HYPERLINK("http://ct.wwsires.com/bull/14HO07660","DYNAMIC")</f>
        <v>DYNAMIC</v>
      </c>
      <c r="B465" t="s">
        <v>874</v>
      </c>
      <c r="C465" t="s">
        <v>875</v>
      </c>
      <c r="D465">
        <v>2462</v>
      </c>
      <c r="E465">
        <v>702</v>
      </c>
      <c r="F465">
        <v>48</v>
      </c>
      <c r="G465" s="261">
        <v>0.08</v>
      </c>
      <c r="H465">
        <v>32</v>
      </c>
      <c r="I465" s="261">
        <v>0.04</v>
      </c>
      <c r="J465" s="261">
        <v>1.78</v>
      </c>
      <c r="K465" s="261">
        <v>2.06</v>
      </c>
      <c r="L465" s="263">
        <v>8</v>
      </c>
      <c r="M465" s="252">
        <v>100</v>
      </c>
      <c r="N465" s="261">
        <v>2.7</v>
      </c>
      <c r="O465" s="263">
        <v>2.4</v>
      </c>
      <c r="P465" s="263">
        <v>2.4</v>
      </c>
      <c r="Q465" s="263">
        <v>4.2</v>
      </c>
    </row>
    <row r="466" spans="1:17" ht="12.75">
      <c r="A466" s="251" t="str">
        <f>HYPERLINK("http://ct.wwsires.com/bull/7HO13398","SUPERFLY")</f>
        <v>SUPERFLY</v>
      </c>
      <c r="B466" t="s">
        <v>876</v>
      </c>
      <c r="C466" t="s">
        <v>877</v>
      </c>
      <c r="D466">
        <v>2610</v>
      </c>
      <c r="E466">
        <v>1404</v>
      </c>
      <c r="F466">
        <v>43</v>
      </c>
      <c r="G466" s="261">
        <v>-0.03</v>
      </c>
      <c r="H466">
        <v>48</v>
      </c>
      <c r="I466" s="261">
        <v>0.02</v>
      </c>
      <c r="J466" s="261">
        <v>1.7</v>
      </c>
      <c r="K466" s="261">
        <v>1.62</v>
      </c>
      <c r="L466" s="263">
        <v>10.1</v>
      </c>
      <c r="M466" s="252">
        <v>99</v>
      </c>
      <c r="N466" s="261">
        <v>2.65</v>
      </c>
      <c r="O466" s="263">
        <v>4.5</v>
      </c>
      <c r="P466" s="263">
        <v>5.1</v>
      </c>
      <c r="Q466" s="263">
        <v>5.9</v>
      </c>
    </row>
    <row r="467" spans="1:17" ht="12.75">
      <c r="A467" s="251" t="str">
        <f>HYPERLINK("http://ct.wwsires.com/bull/14HO07671","BUSINESS PLAN")</f>
        <v>BUSINESS PLAN</v>
      </c>
      <c r="B467" t="s">
        <v>878</v>
      </c>
      <c r="C467" t="s">
        <v>879</v>
      </c>
      <c r="D467">
        <v>2538</v>
      </c>
      <c r="E467">
        <v>506</v>
      </c>
      <c r="F467">
        <v>47</v>
      </c>
      <c r="G467" s="261">
        <v>0.1</v>
      </c>
      <c r="H467">
        <v>23</v>
      </c>
      <c r="I467" s="261">
        <v>0.03</v>
      </c>
      <c r="J467" s="261">
        <v>2.15</v>
      </c>
      <c r="K467" s="261">
        <v>3.16</v>
      </c>
      <c r="L467" s="263">
        <v>7.4</v>
      </c>
      <c r="M467" s="252">
        <v>99</v>
      </c>
      <c r="N467" s="261">
        <v>2.74</v>
      </c>
      <c r="O467" s="263">
        <v>3.4</v>
      </c>
      <c r="P467" s="263">
        <v>3.5</v>
      </c>
      <c r="Q467" s="263">
        <v>6.8</v>
      </c>
    </row>
    <row r="468" spans="1:17" ht="12.75">
      <c r="A468" s="251" t="str">
        <f>HYPERLINK("http://ct.wwsires.com/bull/14HO07276","FUELUP")</f>
        <v>FUELUP</v>
      </c>
      <c r="B468" t="s">
        <v>880</v>
      </c>
      <c r="C468" t="s">
        <v>881</v>
      </c>
      <c r="D468">
        <v>2187</v>
      </c>
      <c r="E468">
        <v>267</v>
      </c>
      <c r="F468">
        <v>51</v>
      </c>
      <c r="G468" s="261">
        <v>0.15</v>
      </c>
      <c r="H468">
        <v>19</v>
      </c>
      <c r="I468" s="261">
        <v>0.04</v>
      </c>
      <c r="J468" s="261">
        <v>0.3</v>
      </c>
      <c r="K468" s="261">
        <v>0.62</v>
      </c>
      <c r="L468" s="263">
        <v>6.1</v>
      </c>
      <c r="M468" s="252">
        <v>98</v>
      </c>
      <c r="N468" s="261">
        <v>2.82</v>
      </c>
      <c r="O468" s="263">
        <v>1.4</v>
      </c>
      <c r="P468" s="263">
        <v>1.7</v>
      </c>
      <c r="Q468" s="263">
        <v>5.5</v>
      </c>
    </row>
    <row r="469" spans="1:17" ht="12.75">
      <c r="A469" s="251" t="str">
        <f>HYPERLINK("http://ct.wwsires.com/bull/14HO07748","DEWARS")</f>
        <v>DEWARS</v>
      </c>
      <c r="B469" t="s">
        <v>882</v>
      </c>
      <c r="C469" t="s">
        <v>883</v>
      </c>
      <c r="D469">
        <v>2509</v>
      </c>
      <c r="E469">
        <v>4</v>
      </c>
      <c r="F469">
        <v>56</v>
      </c>
      <c r="G469" s="261">
        <v>0.21</v>
      </c>
      <c r="H469">
        <v>20</v>
      </c>
      <c r="I469" s="261">
        <v>0.08</v>
      </c>
      <c r="J469" s="261">
        <v>2.67</v>
      </c>
      <c r="K469" s="261">
        <v>2.71</v>
      </c>
      <c r="L469" s="263">
        <v>8.3</v>
      </c>
      <c r="M469" s="252">
        <v>98</v>
      </c>
      <c r="N469" s="261">
        <v>2.52</v>
      </c>
      <c r="O469" s="263">
        <v>1.9</v>
      </c>
      <c r="P469" s="263">
        <v>1.6</v>
      </c>
      <c r="Q469" s="263">
        <v>7</v>
      </c>
    </row>
    <row r="470" spans="1:17" ht="12.75">
      <c r="A470" s="251" t="str">
        <f>HYPERLINK("http://ct.wwsires.com/bull/7HO12423","POCONO")</f>
        <v>POCONO</v>
      </c>
      <c r="B470" t="s">
        <v>884</v>
      </c>
      <c r="C470" t="s">
        <v>885</v>
      </c>
      <c r="D470">
        <v>2480</v>
      </c>
      <c r="E470">
        <v>705</v>
      </c>
      <c r="F470">
        <v>48</v>
      </c>
      <c r="G470" s="261">
        <v>0.08</v>
      </c>
      <c r="H470">
        <v>35</v>
      </c>
      <c r="I470" s="261">
        <v>0.04</v>
      </c>
      <c r="J470" s="261">
        <v>1.33</v>
      </c>
      <c r="K470" s="261">
        <v>1.47</v>
      </c>
      <c r="L470" s="263">
        <v>7.8</v>
      </c>
      <c r="M470" s="252">
        <v>97</v>
      </c>
      <c r="N470" s="261">
        <v>2.4</v>
      </c>
      <c r="O470" s="263">
        <v>3.7</v>
      </c>
      <c r="P470" s="263">
        <v>3.6</v>
      </c>
      <c r="Q470" s="263">
        <v>5.4</v>
      </c>
    </row>
    <row r="471" spans="1:17" ht="12.75">
      <c r="A471" s="251" t="str">
        <f>HYPERLINK("http://ct.wwsires.com/bull/7HO12198","KINGBOY")</f>
        <v>KINGBOY</v>
      </c>
      <c r="B471" t="s">
        <v>886</v>
      </c>
      <c r="C471" t="s">
        <v>887</v>
      </c>
      <c r="D471">
        <v>2552</v>
      </c>
      <c r="E471">
        <v>1373</v>
      </c>
      <c r="F471">
        <v>49</v>
      </c>
      <c r="G471" s="261">
        <v>-0.01</v>
      </c>
      <c r="H471">
        <v>43</v>
      </c>
      <c r="I471" s="261">
        <v>0</v>
      </c>
      <c r="J471" s="261">
        <v>3.25</v>
      </c>
      <c r="K471" s="261">
        <v>2.65</v>
      </c>
      <c r="L471" s="263">
        <v>4.4</v>
      </c>
      <c r="M471" s="252">
        <v>97</v>
      </c>
      <c r="N471" s="261">
        <v>2.7</v>
      </c>
      <c r="O471" s="263">
        <v>2.7</v>
      </c>
      <c r="P471" s="263">
        <v>2.8</v>
      </c>
      <c r="Q471" s="263">
        <v>8.4</v>
      </c>
    </row>
    <row r="472" spans="1:17" ht="12.75">
      <c r="A472" s="251" t="str">
        <f>HYPERLINK("http://ct.wwsires.com/bull/14HO07223","SHAKESPEARE")</f>
        <v>SHAKESPEARE</v>
      </c>
      <c r="B472" t="s">
        <v>888</v>
      </c>
      <c r="C472" t="s">
        <v>889</v>
      </c>
      <c r="D472">
        <v>2363</v>
      </c>
      <c r="E472">
        <v>321</v>
      </c>
      <c r="F472">
        <v>61</v>
      </c>
      <c r="G472" s="261">
        <v>0.18</v>
      </c>
      <c r="H472">
        <v>24</v>
      </c>
      <c r="I472" s="261">
        <v>0.05</v>
      </c>
      <c r="J472" s="261">
        <v>1.71</v>
      </c>
      <c r="K472" s="261">
        <v>1.6800000000000002</v>
      </c>
      <c r="L472" s="263">
        <v>5.5</v>
      </c>
      <c r="M472" s="252">
        <v>96</v>
      </c>
      <c r="N472" s="261">
        <v>2.6</v>
      </c>
      <c r="O472" s="263">
        <v>1.7</v>
      </c>
      <c r="P472" s="263">
        <v>1.4</v>
      </c>
      <c r="Q472" s="263">
        <v>8.7</v>
      </c>
    </row>
    <row r="473" spans="1:17" ht="12.75">
      <c r="A473" s="251" t="str">
        <f>HYPERLINK("http://ct.wwsires.com/bull/14HO07737","CLASSIFY")</f>
        <v>CLASSIFY</v>
      </c>
      <c r="B473" t="s">
        <v>890</v>
      </c>
      <c r="C473" t="s">
        <v>501</v>
      </c>
      <c r="D473">
        <v>2584</v>
      </c>
      <c r="E473">
        <v>1332</v>
      </c>
      <c r="F473">
        <v>46</v>
      </c>
      <c r="G473" s="261">
        <v>-0.01</v>
      </c>
      <c r="H473">
        <v>40</v>
      </c>
      <c r="I473" s="261">
        <v>0</v>
      </c>
      <c r="J473" s="261">
        <v>2.25</v>
      </c>
      <c r="K473" s="261">
        <v>2.26</v>
      </c>
      <c r="L473" s="263">
        <v>8.7</v>
      </c>
      <c r="M473" s="252">
        <v>95</v>
      </c>
      <c r="N473" s="261">
        <v>2.7</v>
      </c>
      <c r="O473" s="263">
        <v>2.8</v>
      </c>
      <c r="P473" s="263">
        <v>3.2</v>
      </c>
      <c r="Q473" s="263">
        <v>7</v>
      </c>
    </row>
    <row r="474" spans="1:17" ht="12.75">
      <c r="A474" s="251" t="str">
        <f>HYPERLINK("http://ct.wwsires.com/bull/7HO12569","HEISENBERG")</f>
        <v>HEISENBERG</v>
      </c>
      <c r="B474" t="s">
        <v>891</v>
      </c>
      <c r="C474" t="s">
        <v>892</v>
      </c>
      <c r="D474">
        <v>2547</v>
      </c>
      <c r="E474">
        <v>660</v>
      </c>
      <c r="F474">
        <v>55</v>
      </c>
      <c r="G474" s="261">
        <v>0.11</v>
      </c>
      <c r="H474">
        <v>34</v>
      </c>
      <c r="I474" s="261">
        <v>0.06</v>
      </c>
      <c r="J474" s="261">
        <v>2.46</v>
      </c>
      <c r="K474" s="261">
        <v>1.8199999999999998</v>
      </c>
      <c r="L474" s="263">
        <v>5.4</v>
      </c>
      <c r="M474" s="252">
        <v>95</v>
      </c>
      <c r="N474" s="261">
        <v>2.7199999999999998</v>
      </c>
      <c r="O474" s="263">
        <v>4</v>
      </c>
      <c r="P474" s="263">
        <v>3.8</v>
      </c>
      <c r="Q474" s="263">
        <v>6.2</v>
      </c>
    </row>
    <row r="475" spans="1:17" ht="12.75">
      <c r="A475" s="251" t="str">
        <f>HYPERLINK("http://ct.wwsires.com/bull/7HO12874","DERBY-PP")</f>
        <v>DERBY-PP</v>
      </c>
      <c r="B475" t="s">
        <v>893</v>
      </c>
      <c r="C475" t="s">
        <v>894</v>
      </c>
      <c r="D475">
        <v>2336</v>
      </c>
      <c r="E475">
        <v>842</v>
      </c>
      <c r="F475">
        <v>38</v>
      </c>
      <c r="G475" s="261">
        <v>0.02</v>
      </c>
      <c r="H475">
        <v>40</v>
      </c>
      <c r="I475" s="261">
        <v>0.05</v>
      </c>
      <c r="J475" s="261">
        <v>1.2</v>
      </c>
      <c r="K475" s="261">
        <v>1.24</v>
      </c>
      <c r="L475" s="263">
        <v>7.1</v>
      </c>
      <c r="M475" s="252">
        <v>95</v>
      </c>
      <c r="N475" s="261">
        <v>2.77</v>
      </c>
      <c r="O475" s="263">
        <v>2.8</v>
      </c>
      <c r="P475" s="263">
        <v>2.8</v>
      </c>
      <c r="Q475" s="263">
        <v>7.2</v>
      </c>
    </row>
    <row r="476" spans="1:17" ht="12.75">
      <c r="A476" s="251" t="str">
        <f>HYPERLINK("http://ct.wwsires.com/bull/7HO12243","LANDSHARK")</f>
        <v>LANDSHARK</v>
      </c>
      <c r="B476" t="s">
        <v>895</v>
      </c>
      <c r="C476" t="s">
        <v>896</v>
      </c>
      <c r="D476">
        <v>2403</v>
      </c>
      <c r="E476">
        <v>924</v>
      </c>
      <c r="F476">
        <v>42</v>
      </c>
      <c r="G476" s="261">
        <v>0.03</v>
      </c>
      <c r="H476">
        <v>33</v>
      </c>
      <c r="I476" s="261">
        <v>0.02</v>
      </c>
      <c r="J476" s="261">
        <v>2.16</v>
      </c>
      <c r="K476" s="261">
        <v>2.5</v>
      </c>
      <c r="L476" s="263">
        <v>7.2</v>
      </c>
      <c r="M476" s="252">
        <v>95</v>
      </c>
      <c r="N476" s="261">
        <v>2.87</v>
      </c>
      <c r="O476" s="263">
        <v>3</v>
      </c>
      <c r="P476" s="263">
        <v>3.2</v>
      </c>
      <c r="Q476" s="263">
        <v>7.7</v>
      </c>
    </row>
    <row r="477" spans="1:17" ht="12.75">
      <c r="A477" s="251" t="str">
        <f>HYPERLINK("http://ct.wwsires.com/bull/7HO12882","ROUNDROCK")</f>
        <v>ROUNDROCK</v>
      </c>
      <c r="B477" t="s">
        <v>897</v>
      </c>
      <c r="C477" t="s">
        <v>898</v>
      </c>
      <c r="D477">
        <v>2583</v>
      </c>
      <c r="E477">
        <v>398</v>
      </c>
      <c r="F477">
        <v>51</v>
      </c>
      <c r="G477" s="261">
        <v>0.13</v>
      </c>
      <c r="H477">
        <v>23</v>
      </c>
      <c r="I477" s="261">
        <v>0.04</v>
      </c>
      <c r="J477" s="261">
        <v>1.43</v>
      </c>
      <c r="K477" s="261">
        <v>1.9100000000000001</v>
      </c>
      <c r="L477" s="263">
        <v>9.4</v>
      </c>
      <c r="M477" s="252">
        <v>95</v>
      </c>
      <c r="N477" s="261">
        <v>2.6</v>
      </c>
      <c r="O477" s="263">
        <v>5.6</v>
      </c>
      <c r="P477" s="263">
        <v>5.3</v>
      </c>
      <c r="Q477" s="263">
        <v>6.8</v>
      </c>
    </row>
    <row r="478" spans="1:17" ht="12.75">
      <c r="A478" s="251" t="str">
        <f>HYPERLINK("http://ct.wwsires.com/bull/14HO07581","MOZAIC")</f>
        <v>MOZAIC</v>
      </c>
      <c r="B478" t="s">
        <v>899</v>
      </c>
      <c r="C478" t="s">
        <v>900</v>
      </c>
      <c r="D478">
        <v>2455</v>
      </c>
      <c r="E478">
        <v>32</v>
      </c>
      <c r="F478">
        <v>50</v>
      </c>
      <c r="G478" s="261">
        <v>0.18</v>
      </c>
      <c r="H478">
        <v>23</v>
      </c>
      <c r="I478" s="261">
        <v>0.08</v>
      </c>
      <c r="J478" s="261">
        <v>0.66</v>
      </c>
      <c r="K478" s="261">
        <v>0.7</v>
      </c>
      <c r="L478" s="263">
        <v>8.2</v>
      </c>
      <c r="M478" s="252">
        <v>94</v>
      </c>
      <c r="N478" s="261">
        <v>2.58</v>
      </c>
      <c r="O478" s="263">
        <v>6.3</v>
      </c>
      <c r="P478" s="263">
        <v>6.3</v>
      </c>
      <c r="Q478" s="263">
        <v>7.6</v>
      </c>
    </row>
    <row r="479" spans="1:17" ht="12.75">
      <c r="A479" s="251" t="str">
        <f>HYPERLINK("http://ct.wwsires.com/bull/14HO07381","BARKLEY")</f>
        <v>BARKLEY</v>
      </c>
      <c r="B479" t="s">
        <v>901</v>
      </c>
      <c r="C479" t="s">
        <v>902</v>
      </c>
      <c r="D479">
        <v>2429</v>
      </c>
      <c r="E479">
        <v>434</v>
      </c>
      <c r="F479">
        <v>54</v>
      </c>
      <c r="G479" s="261">
        <v>0.14</v>
      </c>
      <c r="H479">
        <v>19</v>
      </c>
      <c r="I479" s="261">
        <v>0.02</v>
      </c>
      <c r="J479" s="261">
        <v>2.3</v>
      </c>
      <c r="K479" s="261">
        <v>2.82</v>
      </c>
      <c r="L479" s="263">
        <v>5.7</v>
      </c>
      <c r="M479" s="252">
        <v>93</v>
      </c>
      <c r="N479" s="261">
        <v>2.89</v>
      </c>
      <c r="O479" s="263">
        <v>2.1</v>
      </c>
      <c r="P479" s="263">
        <v>1.8</v>
      </c>
      <c r="Q479" s="263">
        <v>6.1</v>
      </c>
    </row>
    <row r="480" spans="1:17" ht="12.75">
      <c r="A480" s="251" t="str">
        <f>HYPERLINK("http://ct.wwsires.com/bull/7HO11767","MITCH")</f>
        <v>MITCH</v>
      </c>
      <c r="B480" t="s">
        <v>903</v>
      </c>
      <c r="C480" t="s">
        <v>904</v>
      </c>
      <c r="D480">
        <v>2228</v>
      </c>
      <c r="E480">
        <v>783</v>
      </c>
      <c r="F480">
        <v>57</v>
      </c>
      <c r="G480" s="261">
        <v>0.1</v>
      </c>
      <c r="H480">
        <v>27</v>
      </c>
      <c r="I480" s="261">
        <v>0.01</v>
      </c>
      <c r="J480" s="261">
        <v>1.7</v>
      </c>
      <c r="K480" s="261">
        <v>1.4</v>
      </c>
      <c r="L480" s="263">
        <v>3</v>
      </c>
      <c r="M480" s="252">
        <v>92</v>
      </c>
      <c r="N480" s="261">
        <v>2.79</v>
      </c>
      <c r="O480" s="263">
        <v>-0.1</v>
      </c>
      <c r="P480" s="263">
        <v>-0.9</v>
      </c>
      <c r="Q480" s="263">
        <v>7.5</v>
      </c>
    </row>
    <row r="481" spans="1:17" ht="12.75">
      <c r="A481" s="251" t="str">
        <f>HYPERLINK("http://ct.wwsires.com/bull/7HO11641","MATER")</f>
        <v>MATER</v>
      </c>
      <c r="B481" t="s">
        <v>905</v>
      </c>
      <c r="C481" t="s">
        <v>906</v>
      </c>
      <c r="D481">
        <v>2397</v>
      </c>
      <c r="E481">
        <v>922</v>
      </c>
      <c r="F481">
        <v>49</v>
      </c>
      <c r="G481" s="261">
        <v>0.05</v>
      </c>
      <c r="H481">
        <v>35</v>
      </c>
      <c r="I481" s="261">
        <v>0.02</v>
      </c>
      <c r="J481" s="261">
        <v>0.83</v>
      </c>
      <c r="K481" s="261">
        <v>1.24</v>
      </c>
      <c r="L481" s="263">
        <v>7.9</v>
      </c>
      <c r="M481" s="252">
        <v>92</v>
      </c>
      <c r="N481" s="261">
        <v>2.92</v>
      </c>
      <c r="O481" s="263">
        <v>3.5</v>
      </c>
      <c r="P481" s="263">
        <v>3.8</v>
      </c>
      <c r="Q481" s="263">
        <v>7.1</v>
      </c>
    </row>
    <row r="482" spans="1:17" ht="12.75">
      <c r="A482" s="251" t="str">
        <f>HYPERLINK("http://ct.wwsires.com/bull/14HO06823","TORPEDO")</f>
        <v>TORPEDO</v>
      </c>
      <c r="B482" t="s">
        <v>907</v>
      </c>
      <c r="C482" t="s">
        <v>908</v>
      </c>
      <c r="D482">
        <v>2337</v>
      </c>
      <c r="E482">
        <v>337</v>
      </c>
      <c r="F482">
        <v>37</v>
      </c>
      <c r="G482" s="261">
        <v>0.09</v>
      </c>
      <c r="H482">
        <v>21</v>
      </c>
      <c r="I482" s="261">
        <v>0.04</v>
      </c>
      <c r="J482" s="261">
        <v>1.1400000000000001</v>
      </c>
      <c r="K482" s="261">
        <v>1.99</v>
      </c>
      <c r="L482" s="263">
        <v>7.6</v>
      </c>
      <c r="M482" s="252">
        <v>91</v>
      </c>
      <c r="N482" s="261">
        <v>2.61</v>
      </c>
      <c r="O482" s="263">
        <v>2.6</v>
      </c>
      <c r="P482" s="263">
        <v>2.6</v>
      </c>
      <c r="Q482" s="263">
        <v>7.4</v>
      </c>
    </row>
    <row r="483" spans="1:17" ht="12.75">
      <c r="A483" s="251" t="str">
        <f>HYPERLINK("http://ct.wwsires.com/bull/7HO12302","PARK")</f>
        <v>PARK</v>
      </c>
      <c r="B483" t="s">
        <v>909</v>
      </c>
      <c r="C483" t="s">
        <v>910</v>
      </c>
      <c r="D483">
        <v>2363</v>
      </c>
      <c r="E483">
        <v>475</v>
      </c>
      <c r="F483">
        <v>60</v>
      </c>
      <c r="G483" s="261">
        <v>0.15</v>
      </c>
      <c r="H483">
        <v>18</v>
      </c>
      <c r="I483" s="261">
        <v>0.01</v>
      </c>
      <c r="J483" s="261">
        <v>1.97</v>
      </c>
      <c r="K483" s="261">
        <v>1.95</v>
      </c>
      <c r="L483" s="263">
        <v>6</v>
      </c>
      <c r="M483" s="252">
        <v>91</v>
      </c>
      <c r="N483" s="261">
        <v>2.68</v>
      </c>
      <c r="O483" s="263">
        <v>2.3</v>
      </c>
      <c r="P483" s="263">
        <v>1.8</v>
      </c>
      <c r="Q483" s="263">
        <v>7.9</v>
      </c>
    </row>
    <row r="484" spans="1:17" ht="12.75">
      <c r="A484" s="251" t="str">
        <f>HYPERLINK("http://ct.wwsires.com/bull/250HO12879","LIGHT MY FIRE")</f>
        <v>LIGHT MY FIRE</v>
      </c>
      <c r="B484" t="s">
        <v>911</v>
      </c>
      <c r="C484" t="s">
        <v>912</v>
      </c>
      <c r="D484">
        <v>2394</v>
      </c>
      <c r="E484">
        <v>816</v>
      </c>
      <c r="F484">
        <v>41</v>
      </c>
      <c r="G484" s="261">
        <v>0.04</v>
      </c>
      <c r="H484">
        <v>32</v>
      </c>
      <c r="I484" s="261">
        <v>0.03</v>
      </c>
      <c r="J484" s="261">
        <v>3.11</v>
      </c>
      <c r="K484" s="261">
        <v>3.03</v>
      </c>
      <c r="L484" s="263">
        <v>5.4</v>
      </c>
      <c r="M484" s="252">
        <v>91</v>
      </c>
      <c r="N484" s="261">
        <v>2.79</v>
      </c>
      <c r="O484" s="263">
        <v>0.8</v>
      </c>
      <c r="P484" s="263">
        <v>0.6</v>
      </c>
      <c r="Q484" s="263">
        <v>8.3</v>
      </c>
    </row>
    <row r="485" spans="1:17" ht="12.75">
      <c r="A485" s="251" t="str">
        <f>HYPERLINK("http://ct.wwsires.com/bull/14HO07788","POLISHED")</f>
        <v>POLISHED</v>
      </c>
      <c r="B485" t="s">
        <v>913</v>
      </c>
      <c r="C485" t="s">
        <v>914</v>
      </c>
      <c r="D485">
        <v>2511</v>
      </c>
      <c r="E485">
        <v>1269</v>
      </c>
      <c r="F485">
        <v>39</v>
      </c>
      <c r="G485" s="261">
        <v>-0.03</v>
      </c>
      <c r="H485">
        <v>38</v>
      </c>
      <c r="I485" s="261">
        <v>0</v>
      </c>
      <c r="J485" s="261">
        <v>2.49</v>
      </c>
      <c r="K485" s="261">
        <v>2.74</v>
      </c>
      <c r="L485" s="263">
        <v>7.5</v>
      </c>
      <c r="M485" s="252">
        <v>90</v>
      </c>
      <c r="N485" s="261">
        <v>2.94</v>
      </c>
      <c r="O485" s="263">
        <v>3</v>
      </c>
      <c r="P485" s="263">
        <v>3.2</v>
      </c>
      <c r="Q485" s="263">
        <v>7.7</v>
      </c>
    </row>
    <row r="486" spans="1:17" ht="12.75">
      <c r="A486" s="251" t="str">
        <f>HYPERLINK("http://ct.wwsires.com/bull/7HO12626","MANNY-RED")</f>
        <v>MANNY-RED</v>
      </c>
      <c r="B486" t="s">
        <v>915</v>
      </c>
      <c r="C486" t="s">
        <v>916</v>
      </c>
      <c r="D486">
        <v>2342</v>
      </c>
      <c r="E486">
        <v>384</v>
      </c>
      <c r="F486">
        <v>37</v>
      </c>
      <c r="G486" s="261">
        <v>0.08</v>
      </c>
      <c r="H486">
        <v>25</v>
      </c>
      <c r="I486" s="261">
        <v>0.05</v>
      </c>
      <c r="J486" s="261">
        <v>1.6099999999999999</v>
      </c>
      <c r="K486" s="261">
        <v>2.11</v>
      </c>
      <c r="L486" s="263">
        <v>6.2</v>
      </c>
      <c r="M486" s="252">
        <v>90</v>
      </c>
      <c r="N486" s="261">
        <v>2.87</v>
      </c>
      <c r="O486" s="263">
        <v>2.9</v>
      </c>
      <c r="P486" s="263">
        <v>3.3</v>
      </c>
      <c r="Q486" s="263">
        <v>8.8</v>
      </c>
    </row>
    <row r="487" spans="1:17" ht="12.75">
      <c r="A487" s="251" t="str">
        <f>HYPERLINK("http://ct.wwsires.com/bull/7HO12175","WONKA")</f>
        <v>WONKA</v>
      </c>
      <c r="B487" t="s">
        <v>917</v>
      </c>
      <c r="C487" t="s">
        <v>918</v>
      </c>
      <c r="D487">
        <v>2230</v>
      </c>
      <c r="E487">
        <v>1810</v>
      </c>
      <c r="F487">
        <v>41</v>
      </c>
      <c r="G487" s="261">
        <v>-0.1</v>
      </c>
      <c r="H487">
        <v>37</v>
      </c>
      <c r="I487" s="261">
        <v>-0.06</v>
      </c>
      <c r="J487" s="261">
        <v>1.05</v>
      </c>
      <c r="K487" s="261">
        <v>1.08</v>
      </c>
      <c r="L487" s="263">
        <v>4.6</v>
      </c>
      <c r="M487" s="252">
        <v>90</v>
      </c>
      <c r="N487" s="261">
        <v>2.79</v>
      </c>
      <c r="O487" s="263">
        <v>1</v>
      </c>
      <c r="P487" s="263">
        <v>0.8</v>
      </c>
      <c r="Q487" s="263">
        <v>6.5</v>
      </c>
    </row>
    <row r="488" spans="1:17" ht="12.75">
      <c r="A488" s="251" t="str">
        <f>HYPERLINK("http://ct.wwsires.com/bull/7HO11598","ROBUST ERIC")</f>
        <v>ROBUST ERIC</v>
      </c>
      <c r="B488" t="s">
        <v>919</v>
      </c>
      <c r="C488" t="s">
        <v>920</v>
      </c>
      <c r="D488">
        <v>2339</v>
      </c>
      <c r="E488">
        <v>371</v>
      </c>
      <c r="F488">
        <v>41</v>
      </c>
      <c r="G488" s="261">
        <v>0.1</v>
      </c>
      <c r="H488">
        <v>28</v>
      </c>
      <c r="I488" s="261">
        <v>0.06</v>
      </c>
      <c r="J488" s="261">
        <v>1.4</v>
      </c>
      <c r="K488" s="261">
        <v>0.89</v>
      </c>
      <c r="L488" s="263">
        <v>6.4</v>
      </c>
      <c r="M488" s="252">
        <v>89</v>
      </c>
      <c r="N488" s="261">
        <v>2.79</v>
      </c>
      <c r="O488" s="263">
        <v>2.9</v>
      </c>
      <c r="P488" s="263">
        <v>2.9</v>
      </c>
      <c r="Q488" s="263">
        <v>6</v>
      </c>
    </row>
    <row r="489" spans="1:17" ht="12.75">
      <c r="A489" s="251" t="str">
        <f>HYPERLINK("http://ct.wwsires.com/bull/14HO07358","TALLYHO")</f>
        <v>TALLYHO</v>
      </c>
      <c r="B489" t="s">
        <v>921</v>
      </c>
      <c r="C489" t="s">
        <v>922</v>
      </c>
      <c r="D489">
        <v>2377</v>
      </c>
      <c r="E489">
        <v>411</v>
      </c>
      <c r="F489">
        <v>42</v>
      </c>
      <c r="G489" s="261">
        <v>0.09</v>
      </c>
      <c r="H489">
        <v>21</v>
      </c>
      <c r="I489" s="261">
        <v>0.03</v>
      </c>
      <c r="J489" s="261">
        <v>1.13</v>
      </c>
      <c r="K489" s="261">
        <v>2.16</v>
      </c>
      <c r="L489" s="263">
        <v>6.7</v>
      </c>
      <c r="M489" s="252">
        <v>89</v>
      </c>
      <c r="N489" s="261">
        <v>2.73</v>
      </c>
      <c r="O489" s="263">
        <v>3.8</v>
      </c>
      <c r="P489" s="263">
        <v>3.8</v>
      </c>
      <c r="Q489" s="263">
        <v>5.6</v>
      </c>
    </row>
    <row r="490" spans="1:17" ht="12.75">
      <c r="A490" s="251" t="str">
        <f>HYPERLINK("http://ct.wwsires.com/bull/714HO00019","WILAND")</f>
        <v>WILAND</v>
      </c>
      <c r="B490" t="s">
        <v>923</v>
      </c>
      <c r="C490" t="s">
        <v>924</v>
      </c>
      <c r="D490">
        <v>1969</v>
      </c>
      <c r="E490">
        <v>530</v>
      </c>
      <c r="F490">
        <v>23</v>
      </c>
      <c r="G490" s="261">
        <v>0.01</v>
      </c>
      <c r="H490">
        <v>36</v>
      </c>
      <c r="I490" s="261">
        <v>0.07</v>
      </c>
      <c r="J490" s="261">
        <v>-0.27</v>
      </c>
      <c r="K490" s="261">
        <v>0.03</v>
      </c>
      <c r="L490" s="263">
        <v>1.6</v>
      </c>
      <c r="M490" s="252">
        <v>89</v>
      </c>
      <c r="N490" s="261">
        <v>2.76</v>
      </c>
      <c r="O490" s="263">
        <v>1.6</v>
      </c>
      <c r="P490" s="263">
        <v>1.8</v>
      </c>
      <c r="Q490" s="263">
        <v>7</v>
      </c>
    </row>
    <row r="491" spans="1:17" ht="12.75">
      <c r="A491" s="251" t="str">
        <f>HYPERLINK("http://ct.wwsires.com/bull/14HO07720","LURE")</f>
        <v>LURE</v>
      </c>
      <c r="B491" t="s">
        <v>925</v>
      </c>
      <c r="C491" t="s">
        <v>926</v>
      </c>
      <c r="D491">
        <v>2511</v>
      </c>
      <c r="E491">
        <v>1153</v>
      </c>
      <c r="F491">
        <v>33</v>
      </c>
      <c r="G491" s="261">
        <v>-0.04</v>
      </c>
      <c r="H491">
        <v>36</v>
      </c>
      <c r="I491" s="261">
        <v>0</v>
      </c>
      <c r="J491" s="261">
        <v>1.55</v>
      </c>
      <c r="K491" s="261">
        <v>2.03</v>
      </c>
      <c r="L491" s="263">
        <v>8.4</v>
      </c>
      <c r="M491" s="252">
        <v>89</v>
      </c>
      <c r="N491" s="261">
        <v>2.59</v>
      </c>
      <c r="O491" s="263">
        <v>3.8</v>
      </c>
      <c r="P491" s="263">
        <v>3.7</v>
      </c>
      <c r="Q491" s="263">
        <v>7.5</v>
      </c>
    </row>
    <row r="492" spans="1:17" ht="12.75">
      <c r="A492" s="251" t="str">
        <f>HYPERLINK("http://ct.wwsires.com/bull/7HO12115","DECEIVER")</f>
        <v>DECEIVER</v>
      </c>
      <c r="B492" t="s">
        <v>927</v>
      </c>
      <c r="C492" t="s">
        <v>928</v>
      </c>
      <c r="D492">
        <v>2330</v>
      </c>
      <c r="E492">
        <v>1055</v>
      </c>
      <c r="F492">
        <v>42</v>
      </c>
      <c r="G492" s="261">
        <v>0.01</v>
      </c>
      <c r="H492">
        <v>28</v>
      </c>
      <c r="I492" s="261">
        <v>-0.02</v>
      </c>
      <c r="J492" s="261">
        <v>1.37</v>
      </c>
      <c r="K492" s="261">
        <v>1.97</v>
      </c>
      <c r="L492" s="263">
        <v>5.3</v>
      </c>
      <c r="M492" s="252">
        <v>89</v>
      </c>
      <c r="N492" s="261">
        <v>3.12</v>
      </c>
      <c r="O492" s="263">
        <v>3.4</v>
      </c>
      <c r="P492" s="263">
        <v>3.8</v>
      </c>
      <c r="Q492" s="263">
        <v>4.4</v>
      </c>
    </row>
    <row r="493" spans="1:17" ht="12.75">
      <c r="A493" s="251" t="str">
        <f>HYPERLINK("http://ct.wwsires.com/bull/7HO12873","MUSTAFA-RED")</f>
        <v>MUSTAFA-RED</v>
      </c>
      <c r="B493" t="s">
        <v>929</v>
      </c>
      <c r="C493" t="s">
        <v>930</v>
      </c>
      <c r="D493">
        <v>2254</v>
      </c>
      <c r="E493">
        <v>1022</v>
      </c>
      <c r="F493">
        <v>38</v>
      </c>
      <c r="G493" s="261">
        <v>0</v>
      </c>
      <c r="H493">
        <v>32</v>
      </c>
      <c r="I493" s="261">
        <v>0.01</v>
      </c>
      <c r="J493" s="261">
        <v>1.9100000000000001</v>
      </c>
      <c r="K493" s="261">
        <v>2.05</v>
      </c>
      <c r="L493" s="263">
        <v>4.1</v>
      </c>
      <c r="M493" s="252">
        <v>88</v>
      </c>
      <c r="N493" s="261">
        <v>2.75</v>
      </c>
      <c r="O493" s="263">
        <v>0.7</v>
      </c>
      <c r="P493" s="263">
        <v>0.4</v>
      </c>
      <c r="Q493" s="263">
        <v>7.4</v>
      </c>
    </row>
    <row r="494" spans="1:17" ht="12.75">
      <c r="A494" s="251" t="str">
        <f>HYPERLINK("http://ct.wwsires.com/bull/7HO11893","ROZ-MAN")</f>
        <v>ROZ-MAN</v>
      </c>
      <c r="B494" t="s">
        <v>931</v>
      </c>
      <c r="C494" t="s">
        <v>932</v>
      </c>
      <c r="D494">
        <v>2328</v>
      </c>
      <c r="E494">
        <v>1267</v>
      </c>
      <c r="F494">
        <v>36</v>
      </c>
      <c r="G494" s="261">
        <v>-0.04</v>
      </c>
      <c r="H494">
        <v>36</v>
      </c>
      <c r="I494" s="261">
        <v>-0.01</v>
      </c>
      <c r="J494" s="261">
        <v>1.27</v>
      </c>
      <c r="K494" s="261">
        <v>1.55</v>
      </c>
      <c r="L494" s="263">
        <v>5.7</v>
      </c>
      <c r="M494" s="252">
        <v>88</v>
      </c>
      <c r="N494" s="261">
        <v>2.86</v>
      </c>
      <c r="O494" s="263">
        <v>2.4</v>
      </c>
      <c r="P494" s="263">
        <v>1.7</v>
      </c>
      <c r="Q494" s="263">
        <v>7.6</v>
      </c>
    </row>
    <row r="495" spans="1:17" ht="12.75">
      <c r="A495" s="251" t="str">
        <f>HYPERLINK("http://ct.wwsires.com/bull/7HO10849","SHAMROCK")</f>
        <v>SHAMROCK</v>
      </c>
      <c r="B495" t="s">
        <v>933</v>
      </c>
      <c r="C495" t="s">
        <v>934</v>
      </c>
      <c r="D495">
        <v>2326</v>
      </c>
      <c r="E495">
        <v>1180</v>
      </c>
      <c r="F495">
        <v>39</v>
      </c>
      <c r="G495" s="261">
        <v>-0.02</v>
      </c>
      <c r="H495">
        <v>22</v>
      </c>
      <c r="I495" s="261">
        <v>-0.05</v>
      </c>
      <c r="J495" s="261">
        <v>0.75</v>
      </c>
      <c r="K495" s="261">
        <v>1.21</v>
      </c>
      <c r="L495" s="263">
        <v>8.1</v>
      </c>
      <c r="M495" s="252">
        <v>87</v>
      </c>
      <c r="N495" s="261">
        <v>2.82</v>
      </c>
      <c r="O495" s="263">
        <v>3.8</v>
      </c>
      <c r="P495" s="263">
        <v>3.2</v>
      </c>
      <c r="Q495" s="263">
        <v>6.9</v>
      </c>
    </row>
    <row r="496" spans="1:17" ht="12.75">
      <c r="A496" s="251" t="str">
        <f>HYPERLINK("http://ct.wwsires.com/bull/14HO07303","GAMBLER")</f>
        <v>GAMBLER</v>
      </c>
      <c r="B496" t="s">
        <v>935</v>
      </c>
      <c r="C496" t="s">
        <v>936</v>
      </c>
      <c r="D496">
        <v>2436</v>
      </c>
      <c r="E496">
        <v>1143</v>
      </c>
      <c r="F496">
        <v>35</v>
      </c>
      <c r="G496" s="261">
        <v>-0.03</v>
      </c>
      <c r="H496">
        <v>31</v>
      </c>
      <c r="I496" s="261">
        <v>-0.01</v>
      </c>
      <c r="J496" s="261">
        <v>2.16</v>
      </c>
      <c r="K496" s="261">
        <v>3.04</v>
      </c>
      <c r="L496" s="263">
        <v>6.8</v>
      </c>
      <c r="M496" s="252">
        <v>87</v>
      </c>
      <c r="N496" s="261">
        <v>2.74</v>
      </c>
      <c r="O496" s="263">
        <v>1.7</v>
      </c>
      <c r="P496" s="263">
        <v>1.5</v>
      </c>
      <c r="Q496" s="263">
        <v>5.2</v>
      </c>
    </row>
    <row r="497" spans="1:17" ht="12.75">
      <c r="A497" s="251" t="str">
        <f>HYPERLINK("http://ct.wwsires.com/bull/14HO07707","LUNDY")</f>
        <v>LUNDY</v>
      </c>
      <c r="B497" t="s">
        <v>937</v>
      </c>
      <c r="C497" t="s">
        <v>938</v>
      </c>
      <c r="D497">
        <v>2529</v>
      </c>
      <c r="E497">
        <v>1015</v>
      </c>
      <c r="F497">
        <v>51</v>
      </c>
      <c r="G497" s="261">
        <v>0.05</v>
      </c>
      <c r="H497">
        <v>33</v>
      </c>
      <c r="I497" s="261">
        <v>0.01</v>
      </c>
      <c r="J497" s="261">
        <v>2.95</v>
      </c>
      <c r="K497" s="261">
        <v>2.66</v>
      </c>
      <c r="L497" s="263">
        <v>5.5</v>
      </c>
      <c r="M497" s="252">
        <v>87</v>
      </c>
      <c r="N497" s="261">
        <v>2.7199999999999998</v>
      </c>
      <c r="O497" s="263">
        <v>3</v>
      </c>
      <c r="P497" s="263">
        <v>2.7</v>
      </c>
      <c r="Q497" s="263">
        <v>7.6</v>
      </c>
    </row>
    <row r="498" spans="1:17" ht="12.75">
      <c r="A498" s="251" t="str">
        <f>HYPERLINK("http://ct.wwsires.com/bull/7HO11568","DOLLARS")</f>
        <v>DOLLARS</v>
      </c>
      <c r="B498" t="s">
        <v>939</v>
      </c>
      <c r="C498" t="s">
        <v>940</v>
      </c>
      <c r="D498">
        <v>2389</v>
      </c>
      <c r="E498">
        <v>1209</v>
      </c>
      <c r="F498">
        <v>37</v>
      </c>
      <c r="G498" s="261">
        <v>-0.03</v>
      </c>
      <c r="H498">
        <v>31</v>
      </c>
      <c r="I498" s="261">
        <v>-0.02</v>
      </c>
      <c r="J498" s="261">
        <v>0.55</v>
      </c>
      <c r="K498" s="261">
        <v>1.51</v>
      </c>
      <c r="L498" s="263">
        <v>7.4</v>
      </c>
      <c r="M498" s="252">
        <v>87</v>
      </c>
      <c r="N498" s="261">
        <v>2.76</v>
      </c>
      <c r="O498" s="263">
        <v>5</v>
      </c>
      <c r="P498" s="263">
        <v>4.4</v>
      </c>
      <c r="Q498" s="263">
        <v>3.8</v>
      </c>
    </row>
    <row r="499" spans="1:17" ht="12.75">
      <c r="A499" s="251" t="str">
        <f>HYPERLINK("http://ct.wwsires.com/bull/14HO07409","BOND")</f>
        <v>BOND</v>
      </c>
      <c r="B499" t="s">
        <v>941</v>
      </c>
      <c r="C499" t="s">
        <v>786</v>
      </c>
      <c r="D499">
        <v>2328</v>
      </c>
      <c r="E499">
        <v>1443</v>
      </c>
      <c r="F499">
        <v>46</v>
      </c>
      <c r="G499" s="261">
        <v>-0.03</v>
      </c>
      <c r="H499">
        <v>41</v>
      </c>
      <c r="I499" s="261">
        <v>-0.01</v>
      </c>
      <c r="J499" s="261">
        <v>1.55</v>
      </c>
      <c r="K499" s="261">
        <v>1.19</v>
      </c>
      <c r="L499" s="263">
        <v>5.9</v>
      </c>
      <c r="M499" s="252">
        <v>86</v>
      </c>
      <c r="N499" s="261">
        <v>2.7800000000000002</v>
      </c>
      <c r="O499" s="263">
        <v>1</v>
      </c>
      <c r="P499" s="263">
        <v>1.4</v>
      </c>
      <c r="Q499" s="263">
        <v>7</v>
      </c>
    </row>
    <row r="500" spans="1:17" ht="12.75">
      <c r="A500" s="251" t="str">
        <f>HYPERLINK("http://ct.wwsires.com/bull/14HO07795","DUBDAY-RED")</f>
        <v>DUBDAY-RED</v>
      </c>
      <c r="B500" t="s">
        <v>942</v>
      </c>
      <c r="C500" t="s">
        <v>943</v>
      </c>
      <c r="D500">
        <v>2340</v>
      </c>
      <c r="E500">
        <v>804</v>
      </c>
      <c r="F500">
        <v>46</v>
      </c>
      <c r="G500" s="261">
        <v>0.06</v>
      </c>
      <c r="H500">
        <v>27</v>
      </c>
      <c r="I500" s="261">
        <v>0.01</v>
      </c>
      <c r="J500" s="261">
        <v>1.69</v>
      </c>
      <c r="K500" s="261">
        <v>1.69</v>
      </c>
      <c r="L500" s="263">
        <v>4.3</v>
      </c>
      <c r="M500" s="252">
        <v>86</v>
      </c>
      <c r="N500" s="261">
        <v>2.74</v>
      </c>
      <c r="O500" s="263">
        <v>2.3</v>
      </c>
      <c r="P500" s="263">
        <v>2.2</v>
      </c>
      <c r="Q500" s="263">
        <v>7.1</v>
      </c>
    </row>
    <row r="501" spans="1:17" ht="12.75">
      <c r="A501" s="251" t="str">
        <f>HYPERLINK("http://ct.wwsires.com/bull/14HO07539","COUNTY")</f>
        <v>COUNTY</v>
      </c>
      <c r="B501" t="s">
        <v>944</v>
      </c>
      <c r="C501" t="s">
        <v>945</v>
      </c>
      <c r="D501">
        <v>2274</v>
      </c>
      <c r="E501">
        <v>480</v>
      </c>
      <c r="F501">
        <v>51</v>
      </c>
      <c r="G501" s="261">
        <v>0.12</v>
      </c>
      <c r="H501">
        <v>23</v>
      </c>
      <c r="I501" s="261">
        <v>0.03</v>
      </c>
      <c r="J501" s="261">
        <v>2.45</v>
      </c>
      <c r="K501" s="261">
        <v>2.3</v>
      </c>
      <c r="L501" s="263">
        <v>3.6</v>
      </c>
      <c r="M501" s="252">
        <v>86</v>
      </c>
      <c r="N501" s="261">
        <v>2.54</v>
      </c>
      <c r="O501" s="263">
        <v>-0.5</v>
      </c>
      <c r="P501" s="263">
        <v>-0.8</v>
      </c>
      <c r="Q501" s="263">
        <v>8</v>
      </c>
    </row>
    <row r="502" spans="1:17" ht="12.75">
      <c r="A502" s="251" t="str">
        <f>HYPERLINK("http://ct.wwsires.com/bull/7HO13537","GOLDTOP")</f>
        <v>GOLDTOP</v>
      </c>
      <c r="B502" t="s">
        <v>946</v>
      </c>
      <c r="C502" t="s">
        <v>947</v>
      </c>
      <c r="D502">
        <v>2525</v>
      </c>
      <c r="E502">
        <v>176</v>
      </c>
      <c r="F502">
        <v>44</v>
      </c>
      <c r="G502" s="261">
        <v>0.14</v>
      </c>
      <c r="H502">
        <v>26</v>
      </c>
      <c r="I502" s="261">
        <v>0.07</v>
      </c>
      <c r="J502" s="261">
        <v>1</v>
      </c>
      <c r="K502" s="261">
        <v>1.44</v>
      </c>
      <c r="L502" s="263">
        <v>9.8</v>
      </c>
      <c r="M502" s="252">
        <v>85</v>
      </c>
      <c r="N502" s="261">
        <v>2.6</v>
      </c>
      <c r="O502" s="263">
        <v>5.9</v>
      </c>
      <c r="P502" s="263">
        <v>6.3</v>
      </c>
      <c r="Q502" s="263">
        <v>6.8</v>
      </c>
    </row>
    <row r="503" spans="1:17" ht="12.75">
      <c r="A503" s="251" t="str">
        <f>HYPERLINK("http://ct.wwsires.com/bull/7HO11487","THOR")</f>
        <v>THOR</v>
      </c>
      <c r="B503" t="s">
        <v>948</v>
      </c>
      <c r="C503" t="s">
        <v>908</v>
      </c>
      <c r="D503">
        <v>2142</v>
      </c>
      <c r="E503">
        <v>1080</v>
      </c>
      <c r="F503">
        <v>33</v>
      </c>
      <c r="G503" s="261">
        <v>-0.03</v>
      </c>
      <c r="H503">
        <v>24</v>
      </c>
      <c r="I503" s="261">
        <v>-0.03</v>
      </c>
      <c r="J503" s="261">
        <v>1.83</v>
      </c>
      <c r="K503" s="261">
        <v>2.15</v>
      </c>
      <c r="L503" s="263">
        <v>3.7</v>
      </c>
      <c r="M503" s="252">
        <v>85</v>
      </c>
      <c r="N503" s="261">
        <v>2.8</v>
      </c>
      <c r="O503" s="263">
        <v>-0.3</v>
      </c>
      <c r="P503" s="263">
        <v>-0.4</v>
      </c>
      <c r="Q503" s="263">
        <v>5.7</v>
      </c>
    </row>
    <row r="504" spans="1:17" ht="12.75">
      <c r="A504" s="251" t="str">
        <f>HYPERLINK("http://ct.wwsires.com/bull/7HO13521","COMPASS P")</f>
        <v>COMPASS P</v>
      </c>
      <c r="B504" t="s">
        <v>949</v>
      </c>
      <c r="C504" t="s">
        <v>950</v>
      </c>
      <c r="D504">
        <v>2444</v>
      </c>
      <c r="E504">
        <v>1560</v>
      </c>
      <c r="F504">
        <v>25</v>
      </c>
      <c r="G504" s="261">
        <v>-0.13</v>
      </c>
      <c r="H504">
        <v>47</v>
      </c>
      <c r="I504" s="261">
        <v>0.01</v>
      </c>
      <c r="J504" s="261">
        <v>2.15</v>
      </c>
      <c r="K504" s="261">
        <v>1.98</v>
      </c>
      <c r="L504" s="263">
        <v>6</v>
      </c>
      <c r="M504" s="252">
        <v>84</v>
      </c>
      <c r="N504" s="261">
        <v>2.82</v>
      </c>
      <c r="O504" s="263">
        <v>3.1</v>
      </c>
      <c r="P504" s="263">
        <v>3.1</v>
      </c>
      <c r="Q504" s="263">
        <v>5.6</v>
      </c>
    </row>
    <row r="505" spans="1:17" ht="12.75">
      <c r="A505" s="251" t="str">
        <f>HYPERLINK("http://ct.wwsires.com/bull/14HO07667","MOST WANTED")</f>
        <v>MOST WANTED</v>
      </c>
      <c r="B505" t="s">
        <v>951</v>
      </c>
      <c r="C505" t="s">
        <v>952</v>
      </c>
      <c r="D505">
        <v>2480</v>
      </c>
      <c r="E505">
        <v>-196</v>
      </c>
      <c r="F505">
        <v>59</v>
      </c>
      <c r="G505" s="261">
        <v>0.24</v>
      </c>
      <c r="H505">
        <v>15</v>
      </c>
      <c r="I505" s="261">
        <v>0.08</v>
      </c>
      <c r="J505" s="261">
        <v>1.43</v>
      </c>
      <c r="K505" s="261">
        <v>1.23</v>
      </c>
      <c r="L505" s="263">
        <v>5.8</v>
      </c>
      <c r="M505" s="252">
        <v>83</v>
      </c>
      <c r="N505" s="261">
        <v>2.54</v>
      </c>
      <c r="O505" s="263">
        <v>5.7</v>
      </c>
      <c r="P505" s="263">
        <v>5.8</v>
      </c>
      <c r="Q505" s="263">
        <v>8</v>
      </c>
    </row>
    <row r="506" spans="1:17" ht="12.75">
      <c r="A506" s="251" t="str">
        <f>HYPERLINK("http://ct.wwsires.com/bull/7HO12197","UPTOWN")</f>
        <v>UPTOWN</v>
      </c>
      <c r="B506" t="s">
        <v>953</v>
      </c>
      <c r="C506" t="s">
        <v>954</v>
      </c>
      <c r="D506">
        <v>2398</v>
      </c>
      <c r="E506">
        <v>1204</v>
      </c>
      <c r="F506">
        <v>51</v>
      </c>
      <c r="G506" s="261">
        <v>0.02</v>
      </c>
      <c r="H506">
        <v>31</v>
      </c>
      <c r="I506" s="261">
        <v>-0.02</v>
      </c>
      <c r="J506" s="261">
        <v>2.45</v>
      </c>
      <c r="K506" s="261">
        <v>2.39</v>
      </c>
      <c r="L506" s="263">
        <v>3.9</v>
      </c>
      <c r="M506" s="252">
        <v>82</v>
      </c>
      <c r="N506" s="261">
        <v>2.56</v>
      </c>
      <c r="O506" s="263">
        <v>1.8</v>
      </c>
      <c r="P506" s="263">
        <v>1.4</v>
      </c>
      <c r="Q506" s="263">
        <v>7.7</v>
      </c>
    </row>
    <row r="507" spans="1:17" ht="12.75">
      <c r="A507" s="251" t="str">
        <f>HYPERLINK("http://ct.wwsires.com/bull/14HO07765","ROSS-RED")</f>
        <v>ROSS-RED</v>
      </c>
      <c r="B507" t="s">
        <v>955</v>
      </c>
      <c r="C507" t="s">
        <v>956</v>
      </c>
      <c r="D507">
        <v>2315</v>
      </c>
      <c r="E507">
        <v>1151</v>
      </c>
      <c r="F507">
        <v>40</v>
      </c>
      <c r="G507" s="261">
        <v>-0.01</v>
      </c>
      <c r="H507">
        <v>39</v>
      </c>
      <c r="I507" s="261">
        <v>0.02</v>
      </c>
      <c r="J507" s="261">
        <v>2.22</v>
      </c>
      <c r="K507" s="261">
        <v>1.2</v>
      </c>
      <c r="L507" s="263">
        <v>3.3</v>
      </c>
      <c r="M507" s="252">
        <v>82</v>
      </c>
      <c r="N507" s="261">
        <v>2.89</v>
      </c>
      <c r="O507" s="263">
        <v>2</v>
      </c>
      <c r="P507" s="263">
        <v>2</v>
      </c>
      <c r="Q507" s="263">
        <v>7.4</v>
      </c>
    </row>
    <row r="508" spans="1:17" ht="12.75">
      <c r="A508" s="251" t="str">
        <f>HYPERLINK("http://ct.wwsires.com/bull/14HO07263","SAVE*RC")</f>
        <v>SAVE*RC</v>
      </c>
      <c r="B508" t="s">
        <v>957</v>
      </c>
      <c r="C508" t="s">
        <v>958</v>
      </c>
      <c r="D508">
        <v>2276</v>
      </c>
      <c r="E508">
        <v>535</v>
      </c>
      <c r="F508">
        <v>40</v>
      </c>
      <c r="G508" s="261">
        <v>0.08</v>
      </c>
      <c r="H508">
        <v>18</v>
      </c>
      <c r="I508" s="261">
        <v>0</v>
      </c>
      <c r="J508" s="261">
        <v>1.19</v>
      </c>
      <c r="K508" s="261">
        <v>1.48</v>
      </c>
      <c r="L508" s="263">
        <v>8.9</v>
      </c>
      <c r="M508" s="252">
        <v>82</v>
      </c>
      <c r="N508" s="261">
        <v>2.98</v>
      </c>
      <c r="O508" s="263">
        <v>2.8</v>
      </c>
      <c r="P508" s="263">
        <v>2.8</v>
      </c>
      <c r="Q508" s="263">
        <v>5.8</v>
      </c>
    </row>
    <row r="509" spans="1:17" ht="12.75">
      <c r="A509" s="251" t="str">
        <f>HYPERLINK("http://ct.wwsires.com/bull/7HO12782","BONJOUR")</f>
        <v>BONJOUR</v>
      </c>
      <c r="B509" t="s">
        <v>959</v>
      </c>
      <c r="C509" t="s">
        <v>960</v>
      </c>
      <c r="D509">
        <v>2478</v>
      </c>
      <c r="E509">
        <v>725</v>
      </c>
      <c r="F509">
        <v>42</v>
      </c>
      <c r="G509" s="261">
        <v>0.05</v>
      </c>
      <c r="H509">
        <v>23</v>
      </c>
      <c r="I509" s="261">
        <v>0</v>
      </c>
      <c r="J509" s="261">
        <v>2.24</v>
      </c>
      <c r="K509" s="261">
        <v>2.7800000000000002</v>
      </c>
      <c r="L509" s="263">
        <v>8.7</v>
      </c>
      <c r="M509" s="252">
        <v>82</v>
      </c>
      <c r="N509" s="261">
        <v>2.77</v>
      </c>
      <c r="O509" s="263">
        <v>2.7</v>
      </c>
      <c r="P509" s="263">
        <v>3.1</v>
      </c>
      <c r="Q509" s="263">
        <v>7.8</v>
      </c>
    </row>
    <row r="510" spans="1:17" ht="12.75">
      <c r="A510" s="251" t="str">
        <f>HYPERLINK("http://ct.wwsires.com/bull/714HO00038","INGOT")</f>
        <v>INGOT</v>
      </c>
      <c r="B510" t="s">
        <v>961</v>
      </c>
      <c r="C510" t="s">
        <v>962</v>
      </c>
      <c r="D510">
        <v>2308</v>
      </c>
      <c r="E510">
        <v>815</v>
      </c>
      <c r="F510">
        <v>36</v>
      </c>
      <c r="G510" s="261">
        <v>0.02</v>
      </c>
      <c r="H510">
        <v>34</v>
      </c>
      <c r="I510" s="261">
        <v>0.04</v>
      </c>
      <c r="J510" s="261">
        <v>1.55</v>
      </c>
      <c r="K510" s="261">
        <v>1.52</v>
      </c>
      <c r="L510" s="263">
        <v>4.7</v>
      </c>
      <c r="M510" s="252">
        <v>81</v>
      </c>
      <c r="N510" s="261">
        <v>2.79</v>
      </c>
      <c r="O510" s="263">
        <v>2.3</v>
      </c>
      <c r="P510" s="263">
        <v>1.9</v>
      </c>
      <c r="Q510" s="263">
        <v>7.5</v>
      </c>
    </row>
    <row r="511" spans="1:17" ht="12.75">
      <c r="A511" s="251" t="str">
        <f>HYPERLINK("http://ct.wwsires.com/bull/7HO11964","MATTEUS")</f>
        <v>MATTEUS</v>
      </c>
      <c r="B511" t="s">
        <v>963</v>
      </c>
      <c r="C511" t="s">
        <v>964</v>
      </c>
      <c r="D511">
        <v>2342</v>
      </c>
      <c r="E511">
        <v>555</v>
      </c>
      <c r="F511">
        <v>52</v>
      </c>
      <c r="G511" s="261">
        <v>0.12</v>
      </c>
      <c r="H511">
        <v>30</v>
      </c>
      <c r="I511" s="261">
        <v>0.05</v>
      </c>
      <c r="J511" s="261">
        <v>2.57</v>
      </c>
      <c r="K511" s="261">
        <v>1.79</v>
      </c>
      <c r="L511" s="263">
        <v>3.5</v>
      </c>
      <c r="M511" s="252">
        <v>81</v>
      </c>
      <c r="N511" s="261">
        <v>3.08</v>
      </c>
      <c r="O511" s="263">
        <v>1.8</v>
      </c>
      <c r="P511" s="263">
        <v>1.8</v>
      </c>
      <c r="Q511" s="263">
        <v>7.8</v>
      </c>
    </row>
    <row r="512" spans="1:17" ht="12.75">
      <c r="A512" s="251" t="str">
        <f>HYPERLINK("http://ct.wwsires.com/bull/7HO13749","MACHO-P-RED")</f>
        <v>MACHO-P-RED</v>
      </c>
      <c r="B512" t="s">
        <v>965</v>
      </c>
      <c r="C512" t="s">
        <v>966</v>
      </c>
      <c r="D512">
        <v>2393</v>
      </c>
      <c r="E512">
        <v>843</v>
      </c>
      <c r="F512">
        <v>26</v>
      </c>
      <c r="G512" s="261">
        <v>-0.02</v>
      </c>
      <c r="H512">
        <v>37</v>
      </c>
      <c r="I512" s="261">
        <v>0.04</v>
      </c>
      <c r="J512" s="261">
        <v>2.18</v>
      </c>
      <c r="K512" s="261">
        <v>2.75</v>
      </c>
      <c r="L512" s="263">
        <v>5.4</v>
      </c>
      <c r="M512" s="252">
        <v>80</v>
      </c>
      <c r="N512" s="261">
        <v>2.7800000000000002</v>
      </c>
      <c r="O512" s="263">
        <v>2.3</v>
      </c>
      <c r="P512" s="263">
        <v>1.9</v>
      </c>
      <c r="Q512" s="263">
        <v>7.7</v>
      </c>
    </row>
    <row r="513" spans="1:17" ht="12.75">
      <c r="A513" s="251" t="str">
        <f>HYPERLINK("http://ct.wwsires.com/bull/14HO07652","EXTRA MILE")</f>
        <v>EXTRA MILE</v>
      </c>
      <c r="B513" t="s">
        <v>967</v>
      </c>
      <c r="C513" t="s">
        <v>968</v>
      </c>
      <c r="D513">
        <v>2349</v>
      </c>
      <c r="E513">
        <v>865</v>
      </c>
      <c r="F513">
        <v>38</v>
      </c>
      <c r="G513" s="261">
        <v>0.02</v>
      </c>
      <c r="H513">
        <v>30</v>
      </c>
      <c r="I513" s="261">
        <v>0.02</v>
      </c>
      <c r="J513" s="261">
        <v>1.3</v>
      </c>
      <c r="K513" s="261">
        <v>2.02</v>
      </c>
      <c r="L513" s="263">
        <v>6.7</v>
      </c>
      <c r="M513" s="252">
        <v>79</v>
      </c>
      <c r="N513" s="261">
        <v>2.84</v>
      </c>
      <c r="O513" s="263">
        <v>2.4</v>
      </c>
      <c r="P513" s="263">
        <v>2.5</v>
      </c>
      <c r="Q513" s="263">
        <v>6.3</v>
      </c>
    </row>
    <row r="514" spans="1:17" ht="12.75">
      <c r="A514" s="251" t="str">
        <f>HYPERLINK("http://ct.wwsires.com/bull/7HO12667","BORIS-RED")</f>
        <v>BORIS-RED</v>
      </c>
      <c r="B514" t="s">
        <v>969</v>
      </c>
      <c r="C514" t="s">
        <v>970</v>
      </c>
      <c r="D514">
        <v>2293</v>
      </c>
      <c r="E514">
        <v>916</v>
      </c>
      <c r="F514">
        <v>27</v>
      </c>
      <c r="G514" s="261">
        <v>-0.03</v>
      </c>
      <c r="H514">
        <v>36</v>
      </c>
      <c r="I514" s="261">
        <v>0.03</v>
      </c>
      <c r="J514" s="261">
        <v>1.87</v>
      </c>
      <c r="K514" s="261">
        <v>2.62</v>
      </c>
      <c r="L514" s="263">
        <v>7.1</v>
      </c>
      <c r="M514" s="252">
        <v>78</v>
      </c>
      <c r="N514" s="261">
        <v>2.65</v>
      </c>
      <c r="O514" s="263">
        <v>0.4</v>
      </c>
      <c r="P514" s="263">
        <v>0.4</v>
      </c>
      <c r="Q514" s="263">
        <v>9.9</v>
      </c>
    </row>
    <row r="515" spans="1:17" ht="12.75">
      <c r="A515" s="251" t="str">
        <f>HYPERLINK("http://ct.wwsires.com/bull/7HO12222","KIAN")</f>
        <v>KIAN</v>
      </c>
      <c r="B515" t="s">
        <v>971</v>
      </c>
      <c r="C515" t="s">
        <v>972</v>
      </c>
      <c r="D515">
        <v>2379</v>
      </c>
      <c r="E515">
        <v>1586</v>
      </c>
      <c r="F515">
        <v>44</v>
      </c>
      <c r="G515" s="261">
        <v>-0.05</v>
      </c>
      <c r="H515">
        <v>41</v>
      </c>
      <c r="I515" s="261">
        <v>-0.02</v>
      </c>
      <c r="J515" s="261">
        <v>2.7800000000000002</v>
      </c>
      <c r="K515" s="261">
        <v>2.37</v>
      </c>
      <c r="L515" s="263">
        <v>4.1</v>
      </c>
      <c r="M515" s="252">
        <v>77</v>
      </c>
      <c r="N515" s="261">
        <v>2.77</v>
      </c>
      <c r="O515" s="263">
        <v>0.1</v>
      </c>
      <c r="P515" s="263">
        <v>0.1</v>
      </c>
      <c r="Q515" s="263">
        <v>8.1</v>
      </c>
    </row>
    <row r="516" spans="1:17" ht="12.75">
      <c r="A516" s="251" t="str">
        <f>HYPERLINK("http://ct.wwsires.com/bull/250HO01146","LUMINEER")</f>
        <v>LUMINEER</v>
      </c>
      <c r="B516" t="s">
        <v>973</v>
      </c>
      <c r="C516" t="s">
        <v>974</v>
      </c>
      <c r="D516">
        <v>2188</v>
      </c>
      <c r="E516">
        <v>367</v>
      </c>
      <c r="F516">
        <v>29</v>
      </c>
      <c r="G516" s="261">
        <v>0.06</v>
      </c>
      <c r="H516">
        <v>26</v>
      </c>
      <c r="I516" s="261">
        <v>0.05</v>
      </c>
      <c r="J516" s="261">
        <v>2.27</v>
      </c>
      <c r="K516" s="261">
        <v>1.67</v>
      </c>
      <c r="L516" s="263">
        <v>3.1</v>
      </c>
      <c r="M516" s="252">
        <v>76</v>
      </c>
      <c r="N516" s="261">
        <v>2.69</v>
      </c>
      <c r="O516" s="263">
        <v>1.3</v>
      </c>
      <c r="P516" s="263">
        <v>1.1</v>
      </c>
      <c r="Q516" s="263">
        <v>5.3</v>
      </c>
    </row>
    <row r="517" spans="1:17" ht="12.75">
      <c r="A517" s="251" t="str">
        <f>HYPERLINK("http://ct.wwsires.com/bull/250HO01127","MAIN EVENT")</f>
        <v>MAIN EVENT</v>
      </c>
      <c r="B517" t="s">
        <v>975</v>
      </c>
      <c r="C517" t="s">
        <v>954</v>
      </c>
      <c r="D517">
        <v>2390</v>
      </c>
      <c r="E517">
        <v>206</v>
      </c>
      <c r="F517">
        <v>36</v>
      </c>
      <c r="G517" s="261">
        <v>0.11</v>
      </c>
      <c r="H517">
        <v>19</v>
      </c>
      <c r="I517" s="261">
        <v>0.04</v>
      </c>
      <c r="J517" s="261">
        <v>1.77</v>
      </c>
      <c r="K517" s="261">
        <v>2.43</v>
      </c>
      <c r="L517" s="263">
        <v>6.7</v>
      </c>
      <c r="M517" s="252">
        <v>76</v>
      </c>
      <c r="N517" s="261">
        <v>2.83</v>
      </c>
      <c r="O517" s="263">
        <v>3.7</v>
      </c>
      <c r="P517" s="263">
        <v>4</v>
      </c>
      <c r="Q517" s="263">
        <v>6.8</v>
      </c>
    </row>
    <row r="518" spans="1:17" ht="12.75">
      <c r="A518" s="251" t="str">
        <f>HYPERLINK("http://ct.wwsires.com/bull/7HO12409","MIRAGE-RED")</f>
        <v>MIRAGE-RED</v>
      </c>
      <c r="B518" t="s">
        <v>976</v>
      </c>
      <c r="C518" t="s">
        <v>977</v>
      </c>
      <c r="D518">
        <v>2188</v>
      </c>
      <c r="E518">
        <v>1326</v>
      </c>
      <c r="F518">
        <v>34</v>
      </c>
      <c r="G518" s="261">
        <v>-0.06</v>
      </c>
      <c r="H518">
        <v>24</v>
      </c>
      <c r="I518" s="261">
        <v>-0.06</v>
      </c>
      <c r="J518" s="261">
        <v>1.88</v>
      </c>
      <c r="K518" s="261">
        <v>1.27</v>
      </c>
      <c r="L518" s="263">
        <v>4.7</v>
      </c>
      <c r="M518" s="252">
        <v>76</v>
      </c>
      <c r="N518" s="261">
        <v>2.68</v>
      </c>
      <c r="O518" s="263">
        <v>1.1</v>
      </c>
      <c r="P518" s="263">
        <v>0.6</v>
      </c>
      <c r="Q518" s="263">
        <v>8.9</v>
      </c>
    </row>
    <row r="519" spans="1:17" ht="12.75">
      <c r="A519" s="251" t="str">
        <f>HYPERLINK("http://ct.wwsires.com/bull/7HO12670","HISTORY-PP")</f>
        <v>HISTORY-PP</v>
      </c>
      <c r="B519" t="s">
        <v>978</v>
      </c>
      <c r="C519" t="s">
        <v>979</v>
      </c>
      <c r="D519">
        <v>2327</v>
      </c>
      <c r="E519">
        <v>1171</v>
      </c>
      <c r="F519">
        <v>36</v>
      </c>
      <c r="G519" s="261">
        <v>-0.03</v>
      </c>
      <c r="H519">
        <v>33</v>
      </c>
      <c r="I519" s="261">
        <v>0</v>
      </c>
      <c r="J519" s="261">
        <v>1.24</v>
      </c>
      <c r="K519" s="261">
        <v>1.03</v>
      </c>
      <c r="L519" s="263">
        <v>6.7</v>
      </c>
      <c r="M519" s="252">
        <v>76</v>
      </c>
      <c r="N519" s="261">
        <v>2.9699999999999998</v>
      </c>
      <c r="O519" s="263">
        <v>4.4</v>
      </c>
      <c r="P519" s="263">
        <v>4.2</v>
      </c>
      <c r="Q519" s="263">
        <v>7.2</v>
      </c>
    </row>
    <row r="520" spans="1:17" ht="12.75">
      <c r="A520" s="251" t="str">
        <f>HYPERLINK("http://ct.wwsires.com/bull/14HO07298","ELVIS")</f>
        <v>ELVIS</v>
      </c>
      <c r="B520" t="s">
        <v>980</v>
      </c>
      <c r="C520" t="s">
        <v>981</v>
      </c>
      <c r="D520">
        <v>2281</v>
      </c>
      <c r="E520">
        <v>1710</v>
      </c>
      <c r="F520">
        <v>39</v>
      </c>
      <c r="G520" s="261">
        <v>-0.09</v>
      </c>
      <c r="H520">
        <v>36</v>
      </c>
      <c r="I520" s="261">
        <v>-0.06</v>
      </c>
      <c r="J520" s="261">
        <v>1.8599999999999999</v>
      </c>
      <c r="K520" s="261">
        <v>1.11</v>
      </c>
      <c r="L520" s="263">
        <v>5.4</v>
      </c>
      <c r="M520" s="252">
        <v>75</v>
      </c>
      <c r="N520" s="261">
        <v>2.86</v>
      </c>
      <c r="O520" s="263">
        <v>1.7</v>
      </c>
      <c r="P520" s="263">
        <v>1.3</v>
      </c>
      <c r="Q520" s="263">
        <v>5.8</v>
      </c>
    </row>
    <row r="521" spans="1:17" ht="12.75">
      <c r="A521" s="251" t="str">
        <f>HYPERLINK("http://ct.wwsires.com/bull/14HO07306","GREENDAY")</f>
        <v>GREENDAY</v>
      </c>
      <c r="B521" t="s">
        <v>982</v>
      </c>
      <c r="C521" t="s">
        <v>983</v>
      </c>
      <c r="D521">
        <v>2259</v>
      </c>
      <c r="E521">
        <v>522</v>
      </c>
      <c r="F521">
        <v>51</v>
      </c>
      <c r="G521" s="261">
        <v>0.12</v>
      </c>
      <c r="H521">
        <v>14</v>
      </c>
      <c r="I521" s="261">
        <v>0</v>
      </c>
      <c r="J521" s="261">
        <v>2.08</v>
      </c>
      <c r="K521" s="261">
        <v>1.27</v>
      </c>
      <c r="L521" s="263">
        <v>5.2</v>
      </c>
      <c r="M521" s="252">
        <v>73</v>
      </c>
      <c r="N521" s="261">
        <v>2.83</v>
      </c>
      <c r="O521" s="263">
        <v>1.7</v>
      </c>
      <c r="P521" s="263">
        <v>1.5</v>
      </c>
      <c r="Q521" s="263">
        <v>6.7</v>
      </c>
    </row>
    <row r="522" spans="1:17" ht="12.75">
      <c r="A522" s="251" t="str">
        <f>HYPERLINK("http://ct.wwsires.com/bull/714HO00042","KHEDIRA")</f>
        <v>KHEDIRA</v>
      </c>
      <c r="B522" t="s">
        <v>984</v>
      </c>
      <c r="C522" t="s">
        <v>985</v>
      </c>
      <c r="D522">
        <v>2290</v>
      </c>
      <c r="E522">
        <v>570</v>
      </c>
      <c r="F522">
        <v>41</v>
      </c>
      <c r="G522" s="261">
        <v>0.08</v>
      </c>
      <c r="H522">
        <v>18</v>
      </c>
      <c r="I522" s="261">
        <v>0</v>
      </c>
      <c r="J522" s="261">
        <v>1.8399999999999999</v>
      </c>
      <c r="K522" s="261">
        <v>1.97</v>
      </c>
      <c r="L522" s="263">
        <v>5.7</v>
      </c>
      <c r="M522" s="252">
        <v>72</v>
      </c>
      <c r="N522" s="261">
        <v>2.73</v>
      </c>
      <c r="O522" s="263">
        <v>1.7</v>
      </c>
      <c r="P522" s="263">
        <v>1.2</v>
      </c>
      <c r="Q522" s="263">
        <v>6.3</v>
      </c>
    </row>
    <row r="523" spans="1:17" ht="12.75">
      <c r="A523" s="251" t="str">
        <f>HYPERLINK("http://ct.wwsires.com/bull/7HO10606","OBSERVER")</f>
        <v>OBSERVER</v>
      </c>
      <c r="B523" t="s">
        <v>986</v>
      </c>
      <c r="C523" t="s">
        <v>987</v>
      </c>
      <c r="D523">
        <v>2151</v>
      </c>
      <c r="E523">
        <v>930</v>
      </c>
      <c r="F523">
        <v>12</v>
      </c>
      <c r="G523" s="261">
        <v>-0.08</v>
      </c>
      <c r="H523">
        <v>26</v>
      </c>
      <c r="I523" s="261">
        <v>-0.01</v>
      </c>
      <c r="J523" s="261">
        <v>1.41</v>
      </c>
      <c r="K523" s="261">
        <v>2.34</v>
      </c>
      <c r="L523" s="263">
        <v>4.7</v>
      </c>
      <c r="M523" s="252">
        <v>71</v>
      </c>
      <c r="N523" s="261">
        <v>2.85</v>
      </c>
      <c r="O523" s="263">
        <v>1.9</v>
      </c>
      <c r="P523" s="263">
        <v>1.4</v>
      </c>
      <c r="Q523" s="263">
        <v>5.7</v>
      </c>
    </row>
    <row r="524" spans="1:17" ht="12.75">
      <c r="A524" s="251" t="str">
        <f>HYPERLINK("http://ct.wwsires.com/bull/714HO10002","BEST")</f>
        <v>BEST</v>
      </c>
      <c r="B524" t="s">
        <v>988</v>
      </c>
      <c r="C524" t="s">
        <v>989</v>
      </c>
      <c r="D524">
        <v>1687</v>
      </c>
      <c r="E524">
        <v>968</v>
      </c>
      <c r="F524">
        <v>33</v>
      </c>
      <c r="G524" s="261">
        <v>-0.01</v>
      </c>
      <c r="H524">
        <v>23</v>
      </c>
      <c r="I524" s="261">
        <v>-0.02</v>
      </c>
      <c r="J524" s="261">
        <v>0.51</v>
      </c>
      <c r="K524" s="261">
        <v>0.2</v>
      </c>
      <c r="L524" s="263">
        <v>-2.3</v>
      </c>
      <c r="M524" s="252">
        <v>71</v>
      </c>
      <c r="N524" s="261">
        <v>3.17</v>
      </c>
      <c r="O524" s="263">
        <v>-3.2</v>
      </c>
      <c r="P524" s="263">
        <v>-4.2</v>
      </c>
      <c r="Q524" s="263">
        <v>9.7</v>
      </c>
    </row>
    <row r="525" spans="1:17" ht="12.75">
      <c r="A525" s="251" t="str">
        <f>HYPERLINK("http://ct.wwsires.com/bull/14HO07425","CORPORAL P-RED")</f>
        <v>CORPORAL P-RED</v>
      </c>
      <c r="B525" t="s">
        <v>990</v>
      </c>
      <c r="C525" t="s">
        <v>991</v>
      </c>
      <c r="D525">
        <v>2157</v>
      </c>
      <c r="E525">
        <v>1</v>
      </c>
      <c r="F525">
        <v>46</v>
      </c>
      <c r="G525" s="261">
        <v>0.17</v>
      </c>
      <c r="H525">
        <v>15</v>
      </c>
      <c r="I525" s="261">
        <v>0.05</v>
      </c>
      <c r="J525" s="261">
        <v>0.63</v>
      </c>
      <c r="K525" s="261">
        <v>0.48</v>
      </c>
      <c r="L525" s="263">
        <v>3.9</v>
      </c>
      <c r="M525" s="252">
        <v>70</v>
      </c>
      <c r="N525" s="261">
        <v>2.92</v>
      </c>
      <c r="O525" s="263">
        <v>2.3</v>
      </c>
      <c r="P525" s="263">
        <v>2.8</v>
      </c>
      <c r="Q525" s="263">
        <v>7.8</v>
      </c>
    </row>
    <row r="526" spans="1:17" ht="12.75">
      <c r="A526" s="251" t="str">
        <f>HYPERLINK("http://ct.wwsires.com/bull/7HO12206","ACER")</f>
        <v>ACER</v>
      </c>
      <c r="B526" t="s">
        <v>992</v>
      </c>
      <c r="C526" t="s">
        <v>993</v>
      </c>
      <c r="D526">
        <v>2439</v>
      </c>
      <c r="E526">
        <v>1356</v>
      </c>
      <c r="F526">
        <v>36</v>
      </c>
      <c r="G526" s="261">
        <v>-0.05</v>
      </c>
      <c r="H526">
        <v>35</v>
      </c>
      <c r="I526" s="261">
        <v>-0.02</v>
      </c>
      <c r="J526" s="261">
        <v>2.17</v>
      </c>
      <c r="K526" s="261">
        <v>1.58</v>
      </c>
      <c r="L526" s="263">
        <v>7.8</v>
      </c>
      <c r="M526" s="252">
        <v>70</v>
      </c>
      <c r="N526" s="261">
        <v>2.79</v>
      </c>
      <c r="O526" s="263">
        <v>4.2</v>
      </c>
      <c r="P526" s="263">
        <v>4.3</v>
      </c>
      <c r="Q526" s="263">
        <v>8.9</v>
      </c>
    </row>
    <row r="527" spans="1:17" ht="12.75">
      <c r="A527" s="251" t="str">
        <f>HYPERLINK("http://ct.wwsires.com/bull/7HO11777","SNOWMOBIL")</f>
        <v>SNOWMOBIL</v>
      </c>
      <c r="B527" t="s">
        <v>994</v>
      </c>
      <c r="C527" t="s">
        <v>995</v>
      </c>
      <c r="D527">
        <v>2108</v>
      </c>
      <c r="E527">
        <v>1414</v>
      </c>
      <c r="F527">
        <v>25</v>
      </c>
      <c r="G527" s="261">
        <v>-0.1</v>
      </c>
      <c r="H527">
        <v>37</v>
      </c>
      <c r="I527" s="261">
        <v>-0.02</v>
      </c>
      <c r="J527" s="261">
        <v>1.79</v>
      </c>
      <c r="K527" s="261">
        <v>1.26</v>
      </c>
      <c r="L527" s="263">
        <v>4.2</v>
      </c>
      <c r="M527" s="252">
        <v>70</v>
      </c>
      <c r="N527" s="261">
        <v>2.88</v>
      </c>
      <c r="O527" s="263">
        <v>-1.2</v>
      </c>
      <c r="P527" s="263">
        <v>-1.2</v>
      </c>
      <c r="Q527" s="263">
        <v>5.7</v>
      </c>
    </row>
    <row r="528" spans="1:17" ht="12.75">
      <c r="A528" s="251" t="str">
        <f>HYPERLINK("http://ct.wwsires.com/bull/7HO12203","GIL")</f>
        <v>GIL</v>
      </c>
      <c r="B528" t="s">
        <v>996</v>
      </c>
      <c r="C528" t="s">
        <v>997</v>
      </c>
      <c r="D528">
        <v>2301</v>
      </c>
      <c r="E528">
        <v>394</v>
      </c>
      <c r="F528">
        <v>42</v>
      </c>
      <c r="G528" s="261">
        <v>0.1</v>
      </c>
      <c r="H528">
        <v>20</v>
      </c>
      <c r="I528" s="261">
        <v>0.03</v>
      </c>
      <c r="J528" s="261">
        <v>2.41</v>
      </c>
      <c r="K528" s="261">
        <v>2.3</v>
      </c>
      <c r="L528" s="263">
        <v>5.6</v>
      </c>
      <c r="M528" s="252">
        <v>70</v>
      </c>
      <c r="N528" s="261">
        <v>2.86</v>
      </c>
      <c r="O528" s="263">
        <v>0.8</v>
      </c>
      <c r="P528" s="263">
        <v>0.8</v>
      </c>
      <c r="Q528" s="263">
        <v>7.8</v>
      </c>
    </row>
    <row r="529" spans="1:17" ht="12.75">
      <c r="A529" s="251" t="str">
        <f>HYPERLINK("http://ct.wwsires.com/bull/250HO12786","SULTAN")</f>
        <v>SULTAN</v>
      </c>
      <c r="B529" t="s">
        <v>998</v>
      </c>
      <c r="C529" t="s">
        <v>999</v>
      </c>
      <c r="D529">
        <v>2499</v>
      </c>
      <c r="E529">
        <v>799</v>
      </c>
      <c r="F529">
        <v>47</v>
      </c>
      <c r="G529" s="261">
        <v>0.06</v>
      </c>
      <c r="H529">
        <v>20</v>
      </c>
      <c r="I529" s="261">
        <v>-0.01</v>
      </c>
      <c r="J529" s="261">
        <v>3.48</v>
      </c>
      <c r="K529" s="261">
        <v>3.61</v>
      </c>
      <c r="L529" s="263">
        <v>6.1</v>
      </c>
      <c r="M529" s="252">
        <v>69</v>
      </c>
      <c r="N529" s="261">
        <v>2.65</v>
      </c>
      <c r="O529" s="263">
        <v>2.3</v>
      </c>
      <c r="P529" s="263">
        <v>2.2</v>
      </c>
      <c r="Q529" s="263">
        <v>8.1</v>
      </c>
    </row>
    <row r="530" spans="1:17" ht="12.75">
      <c r="A530" s="251" t="str">
        <f>HYPERLINK("http://ct.wwsires.com/bull/250HO01109","CAMARO")</f>
        <v>CAMARO</v>
      </c>
      <c r="B530" t="s">
        <v>1000</v>
      </c>
      <c r="C530" t="s">
        <v>1001</v>
      </c>
      <c r="D530">
        <v>2283</v>
      </c>
      <c r="E530">
        <v>-243</v>
      </c>
      <c r="F530">
        <v>44</v>
      </c>
      <c r="G530" s="261">
        <v>0.2</v>
      </c>
      <c r="H530">
        <v>13</v>
      </c>
      <c r="I530" s="261">
        <v>0.07</v>
      </c>
      <c r="J530" s="261">
        <v>1.42</v>
      </c>
      <c r="K530" s="261">
        <v>1.54</v>
      </c>
      <c r="L530" s="263">
        <v>7.9</v>
      </c>
      <c r="M530" s="252">
        <v>68</v>
      </c>
      <c r="N530" s="261">
        <v>2.86</v>
      </c>
      <c r="O530" s="263">
        <v>2.2</v>
      </c>
      <c r="P530" s="263">
        <v>2</v>
      </c>
      <c r="Q530" s="263">
        <v>6.1</v>
      </c>
    </row>
    <row r="531" spans="1:17" ht="12.75">
      <c r="A531" s="251" t="str">
        <f>HYPERLINK("http://ct.wwsires.com/bull/14HO07313","FROST")</f>
        <v>FROST</v>
      </c>
      <c r="B531" t="s">
        <v>1002</v>
      </c>
      <c r="C531" t="s">
        <v>599</v>
      </c>
      <c r="D531">
        <v>2105</v>
      </c>
      <c r="E531">
        <v>828</v>
      </c>
      <c r="F531">
        <v>41</v>
      </c>
      <c r="G531" s="261">
        <v>0.04</v>
      </c>
      <c r="H531">
        <v>18</v>
      </c>
      <c r="I531" s="261">
        <v>-0.03</v>
      </c>
      <c r="J531" s="261">
        <v>1.62</v>
      </c>
      <c r="K531" s="261">
        <v>2.11</v>
      </c>
      <c r="L531" s="263">
        <v>4.4</v>
      </c>
      <c r="M531" s="252">
        <v>68</v>
      </c>
      <c r="N531" s="261">
        <v>2.71</v>
      </c>
      <c r="O531" s="263">
        <v>-1.3</v>
      </c>
      <c r="P531" s="263">
        <v>-1.4</v>
      </c>
      <c r="Q531" s="263">
        <v>6.2</v>
      </c>
    </row>
    <row r="532" spans="1:17" ht="12.75">
      <c r="A532" s="251" t="str">
        <f>HYPERLINK("http://ct.wwsires.com/bull/7HO11703","ARMANI*RC")</f>
        <v>ARMANI*RC</v>
      </c>
      <c r="B532" t="s">
        <v>1003</v>
      </c>
      <c r="C532" t="s">
        <v>1004</v>
      </c>
      <c r="D532">
        <v>2101</v>
      </c>
      <c r="E532">
        <v>-1535</v>
      </c>
      <c r="F532">
        <v>27</v>
      </c>
      <c r="G532" s="261">
        <v>0.33</v>
      </c>
      <c r="H532">
        <v>-5</v>
      </c>
      <c r="I532" s="261">
        <v>0.16</v>
      </c>
      <c r="J532" s="261">
        <v>1.77</v>
      </c>
      <c r="K532" s="261">
        <v>2.46</v>
      </c>
      <c r="L532" s="263">
        <v>0.4</v>
      </c>
      <c r="M532" s="252">
        <v>65</v>
      </c>
      <c r="N532" s="261">
        <v>2.76</v>
      </c>
      <c r="O532" s="263">
        <v>2.3</v>
      </c>
      <c r="P532" s="263">
        <v>2.6</v>
      </c>
      <c r="Q532" s="263">
        <v>7.9</v>
      </c>
    </row>
    <row r="533" spans="1:17" ht="12.75">
      <c r="A533" s="251" t="str">
        <f>HYPERLINK("http://ct.wwsires.com/bull/7HO11741","MOCHA")</f>
        <v>MOCHA</v>
      </c>
      <c r="B533" t="s">
        <v>1005</v>
      </c>
      <c r="C533" t="s">
        <v>1006</v>
      </c>
      <c r="D533">
        <v>2300</v>
      </c>
      <c r="E533">
        <v>744</v>
      </c>
      <c r="F533">
        <v>39</v>
      </c>
      <c r="G533" s="261">
        <v>0.04</v>
      </c>
      <c r="H533">
        <v>17</v>
      </c>
      <c r="I533" s="261">
        <v>-0.02</v>
      </c>
      <c r="J533" s="261">
        <v>0.92</v>
      </c>
      <c r="K533" s="261">
        <v>0.2</v>
      </c>
      <c r="L533" s="263">
        <v>7.4</v>
      </c>
      <c r="M533" s="252">
        <v>63</v>
      </c>
      <c r="N533" s="261">
        <v>2.63</v>
      </c>
      <c r="O533" s="263">
        <v>4.7</v>
      </c>
      <c r="P533" s="263">
        <v>4.2</v>
      </c>
      <c r="Q533" s="263">
        <v>7.1</v>
      </c>
    </row>
    <row r="534" spans="1:17" ht="12.75">
      <c r="A534" s="251" t="str">
        <f>HYPERLINK("http://ct.wwsires.com/bull/714HO00025","LUBBOCK")</f>
        <v>LUBBOCK</v>
      </c>
      <c r="B534" t="s">
        <v>1007</v>
      </c>
      <c r="C534" t="s">
        <v>1008</v>
      </c>
      <c r="D534">
        <v>2030</v>
      </c>
      <c r="E534">
        <v>617</v>
      </c>
      <c r="F534">
        <v>21</v>
      </c>
      <c r="G534" s="261">
        <v>-0.01</v>
      </c>
      <c r="H534">
        <v>23</v>
      </c>
      <c r="I534" s="261">
        <v>0.02</v>
      </c>
      <c r="J534" s="261">
        <v>0.49</v>
      </c>
      <c r="K534" s="261">
        <v>-0.08</v>
      </c>
      <c r="L534" s="263">
        <v>2.8</v>
      </c>
      <c r="M534" s="252">
        <v>62</v>
      </c>
      <c r="N534" s="261">
        <v>2.85</v>
      </c>
      <c r="O534" s="263">
        <v>3.1</v>
      </c>
      <c r="P534" s="263">
        <v>3</v>
      </c>
      <c r="Q534" s="263">
        <v>6.6</v>
      </c>
    </row>
    <row r="535" spans="1:17" ht="12.75">
      <c r="A535" s="251" t="str">
        <f>HYPERLINK("http://ct.wwsires.com/bull/7HO11169","PETRONE")</f>
        <v>PETRONE</v>
      </c>
      <c r="B535" t="s">
        <v>1009</v>
      </c>
      <c r="C535" t="s">
        <v>1010</v>
      </c>
      <c r="D535">
        <v>2469</v>
      </c>
      <c r="E535">
        <v>681</v>
      </c>
      <c r="F535">
        <v>42</v>
      </c>
      <c r="G535" s="261">
        <v>0.06</v>
      </c>
      <c r="H535">
        <v>12</v>
      </c>
      <c r="I535" s="261">
        <v>-0.03</v>
      </c>
      <c r="J535" s="261">
        <v>1.13</v>
      </c>
      <c r="K535" s="261">
        <v>1.76</v>
      </c>
      <c r="L535" s="263">
        <v>7.4</v>
      </c>
      <c r="M535" s="252">
        <v>61</v>
      </c>
      <c r="N535" s="261">
        <v>2.6</v>
      </c>
      <c r="O535" s="263">
        <v>6.3</v>
      </c>
      <c r="P535" s="263">
        <v>6.2</v>
      </c>
      <c r="Q535" s="263">
        <v>6.9</v>
      </c>
    </row>
    <row r="536" spans="1:17" ht="12.75">
      <c r="A536" s="251" t="str">
        <f>HYPERLINK("http://ct.wwsires.com/bull/250HO01039","CARMELLO")</f>
        <v>CARMELLO</v>
      </c>
      <c r="B536" t="s">
        <v>1011</v>
      </c>
      <c r="C536" t="s">
        <v>652</v>
      </c>
      <c r="D536">
        <v>2028</v>
      </c>
      <c r="E536">
        <v>942</v>
      </c>
      <c r="F536">
        <v>26</v>
      </c>
      <c r="G536" s="261">
        <v>-0.04</v>
      </c>
      <c r="H536">
        <v>32</v>
      </c>
      <c r="I536" s="261">
        <v>0.01</v>
      </c>
      <c r="J536" s="261">
        <v>2.2800000000000002</v>
      </c>
      <c r="K536" s="261">
        <v>1.75</v>
      </c>
      <c r="L536" s="263">
        <v>1.1</v>
      </c>
      <c r="M536" s="252">
        <v>61</v>
      </c>
      <c r="N536" s="261">
        <v>2.89</v>
      </c>
      <c r="O536" s="263">
        <v>-2.6</v>
      </c>
      <c r="P536" s="263">
        <v>-3.1</v>
      </c>
      <c r="Q536" s="263">
        <v>8.8</v>
      </c>
    </row>
    <row r="537" spans="1:17" ht="12.75">
      <c r="A537" s="251" t="str">
        <f>HYPERLINK("http://ct.wwsires.com/bull/7HO12769","KENYON")</f>
        <v>KENYON</v>
      </c>
      <c r="B537" t="s">
        <v>1012</v>
      </c>
      <c r="C537" t="s">
        <v>1013</v>
      </c>
      <c r="D537">
        <v>2602</v>
      </c>
      <c r="E537">
        <v>1408</v>
      </c>
      <c r="F537">
        <v>30</v>
      </c>
      <c r="G537" s="261">
        <v>-0.08</v>
      </c>
      <c r="H537">
        <v>33</v>
      </c>
      <c r="I537" s="261">
        <v>-0.04</v>
      </c>
      <c r="J537" s="261">
        <v>3.31</v>
      </c>
      <c r="K537" s="261">
        <v>3.36</v>
      </c>
      <c r="L537" s="263">
        <v>7.3</v>
      </c>
      <c r="M537" s="252">
        <v>60</v>
      </c>
      <c r="N537" s="261">
        <v>2.49</v>
      </c>
      <c r="O537" s="263">
        <v>3.2</v>
      </c>
      <c r="P537" s="263">
        <v>3.2</v>
      </c>
      <c r="Q537" s="263">
        <v>7.2</v>
      </c>
    </row>
    <row r="538" spans="1:17" ht="12.75">
      <c r="A538" s="251" t="str">
        <f>HYPERLINK("http://ct.wwsires.com/bull/14HO07288","COMAN")</f>
        <v>COMAN</v>
      </c>
      <c r="B538" t="s">
        <v>1014</v>
      </c>
      <c r="C538" t="s">
        <v>1015</v>
      </c>
      <c r="D538">
        <v>2267</v>
      </c>
      <c r="E538">
        <v>1068</v>
      </c>
      <c r="F538">
        <v>17</v>
      </c>
      <c r="G538" s="261">
        <v>-0.08</v>
      </c>
      <c r="H538">
        <v>40</v>
      </c>
      <c r="I538" s="261">
        <v>0.03</v>
      </c>
      <c r="J538" s="261">
        <v>2.1</v>
      </c>
      <c r="K538" s="261">
        <v>1.5</v>
      </c>
      <c r="L538" s="263">
        <v>7.1</v>
      </c>
      <c r="M538" s="252">
        <v>57</v>
      </c>
      <c r="N538" s="261">
        <v>2.54</v>
      </c>
      <c r="O538" s="263">
        <v>1.4</v>
      </c>
      <c r="P538" s="263">
        <v>1.2</v>
      </c>
      <c r="Q538" s="263">
        <v>8.1</v>
      </c>
    </row>
    <row r="539" spans="1:17" ht="12.75">
      <c r="A539" s="251" t="str">
        <f>HYPERLINK("http://ct.wwsires.com/bull/7HO13778","APPLE-CRISP*RC")</f>
        <v>APPLE-CRISP*RC</v>
      </c>
      <c r="B539" t="s">
        <v>1016</v>
      </c>
      <c r="C539" t="s">
        <v>1017</v>
      </c>
      <c r="D539">
        <v>2220</v>
      </c>
      <c r="E539">
        <v>884</v>
      </c>
      <c r="F539">
        <v>42</v>
      </c>
      <c r="G539" s="261">
        <v>0.04</v>
      </c>
      <c r="H539">
        <v>20</v>
      </c>
      <c r="I539" s="261">
        <v>-0.02</v>
      </c>
      <c r="J539" s="261">
        <v>3.15</v>
      </c>
      <c r="K539" s="261">
        <v>2.73</v>
      </c>
      <c r="L539" s="263">
        <v>2.2</v>
      </c>
      <c r="M539" s="252">
        <v>57</v>
      </c>
      <c r="N539" s="261">
        <v>2.89</v>
      </c>
      <c r="O539" s="263">
        <v>0.1</v>
      </c>
      <c r="P539" s="263">
        <v>-0.3</v>
      </c>
      <c r="Q539" s="263">
        <v>8.2</v>
      </c>
    </row>
    <row r="540" spans="1:17" ht="12.75">
      <c r="A540" s="251" t="str">
        <f>HYPERLINK("http://ct.wwsires.com/bull/7HO11488","BRANSON")</f>
        <v>BRANSON</v>
      </c>
      <c r="B540" t="s">
        <v>1018</v>
      </c>
      <c r="C540" t="s">
        <v>1019</v>
      </c>
      <c r="D540">
        <v>2257</v>
      </c>
      <c r="E540">
        <v>386</v>
      </c>
      <c r="F540">
        <v>22</v>
      </c>
      <c r="G540" s="261">
        <v>0.02</v>
      </c>
      <c r="H540">
        <v>14</v>
      </c>
      <c r="I540" s="261">
        <v>0.01</v>
      </c>
      <c r="J540" s="261">
        <v>1.77</v>
      </c>
      <c r="K540" s="261">
        <v>2.42</v>
      </c>
      <c r="L540" s="263">
        <v>5.3</v>
      </c>
      <c r="M540" s="252">
        <v>56</v>
      </c>
      <c r="N540" s="261">
        <v>2.74</v>
      </c>
      <c r="O540" s="263">
        <v>2.8</v>
      </c>
      <c r="P540" s="263">
        <v>2.4</v>
      </c>
      <c r="Q540" s="263">
        <v>7.1</v>
      </c>
    </row>
    <row r="541" spans="1:17" ht="12.75">
      <c r="A541" s="251" t="str">
        <f>HYPERLINK("http://ct.wwsires.com/bull/7HO11926","DEFENDER")</f>
        <v>DEFENDER</v>
      </c>
      <c r="B541" t="s">
        <v>1020</v>
      </c>
      <c r="C541" t="s">
        <v>1021</v>
      </c>
      <c r="D541">
        <v>2242</v>
      </c>
      <c r="E541">
        <v>338</v>
      </c>
      <c r="F541">
        <v>32</v>
      </c>
      <c r="G541" s="261">
        <v>0.07</v>
      </c>
      <c r="H541">
        <v>20</v>
      </c>
      <c r="I541" s="261">
        <v>0.03</v>
      </c>
      <c r="J541" s="261">
        <v>2.07</v>
      </c>
      <c r="K541" s="261">
        <v>2.75</v>
      </c>
      <c r="L541" s="263">
        <v>2.2</v>
      </c>
      <c r="M541" s="252">
        <v>55</v>
      </c>
      <c r="N541" s="261">
        <v>2.96</v>
      </c>
      <c r="O541" s="263">
        <v>2.1</v>
      </c>
      <c r="P541" s="263">
        <v>2</v>
      </c>
      <c r="Q541" s="263">
        <v>6.3</v>
      </c>
    </row>
    <row r="542" spans="1:17" ht="12.75">
      <c r="A542" s="251" t="str">
        <f>HYPERLINK("http://ct.wwsires.com/bull/14HO07270","BARRET")</f>
        <v>BARRET</v>
      </c>
      <c r="B542" t="s">
        <v>1022</v>
      </c>
      <c r="C542" t="s">
        <v>1023</v>
      </c>
      <c r="D542">
        <v>2343</v>
      </c>
      <c r="E542">
        <v>1334</v>
      </c>
      <c r="F542">
        <v>27</v>
      </c>
      <c r="G542" s="261">
        <v>-0.08</v>
      </c>
      <c r="H542">
        <v>31</v>
      </c>
      <c r="I542" s="261">
        <v>-0.03</v>
      </c>
      <c r="J542" s="261">
        <v>2.18</v>
      </c>
      <c r="K542" s="261">
        <v>1.8</v>
      </c>
      <c r="L542" s="263">
        <v>4.8</v>
      </c>
      <c r="M542" s="252">
        <v>52</v>
      </c>
      <c r="N542" s="261">
        <v>2.77</v>
      </c>
      <c r="O542" s="263">
        <v>3.1</v>
      </c>
      <c r="P542" s="263">
        <v>3.2</v>
      </c>
      <c r="Q542" s="263">
        <v>7.7</v>
      </c>
    </row>
    <row r="543" spans="1:17" ht="12.75">
      <c r="A543" s="251" t="str">
        <f>HYPERLINK("http://ct.wwsires.com/bull/250HO01002","EPIC")</f>
        <v>EPIC</v>
      </c>
      <c r="B543" t="s">
        <v>1024</v>
      </c>
      <c r="C543" t="s">
        <v>1025</v>
      </c>
      <c r="D543">
        <v>2247</v>
      </c>
      <c r="E543">
        <v>906</v>
      </c>
      <c r="F543">
        <v>25</v>
      </c>
      <c r="G543" s="261">
        <v>-0.03</v>
      </c>
      <c r="H543">
        <v>30</v>
      </c>
      <c r="I543" s="261">
        <v>0.01</v>
      </c>
      <c r="J543" s="261">
        <v>1.69</v>
      </c>
      <c r="K543" s="261">
        <v>1.31</v>
      </c>
      <c r="L543" s="263">
        <v>6.6</v>
      </c>
      <c r="M543" s="252">
        <v>50</v>
      </c>
      <c r="N543" s="261">
        <v>2.81</v>
      </c>
      <c r="O543" s="263">
        <v>2</v>
      </c>
      <c r="P543" s="263">
        <v>2.2</v>
      </c>
      <c r="Q543" s="263">
        <v>6.5</v>
      </c>
    </row>
    <row r="544" spans="1:17" ht="12.75">
      <c r="A544" s="251" t="str">
        <f>HYPERLINK("http://ct.wwsires.com/bull/250HO12781","PETER")</f>
        <v>PETER</v>
      </c>
      <c r="B544" t="s">
        <v>1026</v>
      </c>
      <c r="C544" t="s">
        <v>1027</v>
      </c>
      <c r="D544">
        <v>2352</v>
      </c>
      <c r="E544">
        <v>511</v>
      </c>
      <c r="F544">
        <v>33</v>
      </c>
      <c r="G544" s="261">
        <v>0.05</v>
      </c>
      <c r="H544">
        <v>25</v>
      </c>
      <c r="I544" s="261">
        <v>0.04</v>
      </c>
      <c r="J544" s="261">
        <v>3.2800000000000002</v>
      </c>
      <c r="K544" s="261">
        <v>3.05</v>
      </c>
      <c r="L544" s="263">
        <v>4</v>
      </c>
      <c r="M544" s="252">
        <v>49</v>
      </c>
      <c r="N544" s="261">
        <v>2.63</v>
      </c>
      <c r="O544" s="263">
        <v>1.2</v>
      </c>
      <c r="P544" s="263">
        <v>1</v>
      </c>
      <c r="Q544" s="263">
        <v>9.5</v>
      </c>
    </row>
    <row r="545" spans="1:17" ht="12.75">
      <c r="A545" s="251" t="str">
        <f>HYPERLINK("http://ct.wwsires.com/bull/14HO07802","DEVOUR*RC")</f>
        <v>DEVOUR*RC</v>
      </c>
      <c r="B545" t="s">
        <v>1028</v>
      </c>
      <c r="C545" t="s">
        <v>1029</v>
      </c>
      <c r="D545">
        <v>2126</v>
      </c>
      <c r="E545">
        <v>600</v>
      </c>
      <c r="F545">
        <v>27</v>
      </c>
      <c r="G545" s="261">
        <v>0.02</v>
      </c>
      <c r="H545">
        <v>15</v>
      </c>
      <c r="I545" s="261">
        <v>-0.01</v>
      </c>
      <c r="J545" s="261">
        <v>3.04</v>
      </c>
      <c r="K545" s="261">
        <v>3.5</v>
      </c>
      <c r="L545" s="263">
        <v>1.2</v>
      </c>
      <c r="M545" s="252">
        <v>49</v>
      </c>
      <c r="N545" s="261">
        <v>2.92</v>
      </c>
      <c r="O545" s="263">
        <v>-1.1</v>
      </c>
      <c r="P545" s="263">
        <v>-1.5</v>
      </c>
      <c r="Q545" s="263">
        <v>9.5</v>
      </c>
    </row>
    <row r="546" spans="1:17" ht="12.75">
      <c r="A546" s="251" t="str">
        <f>HYPERLINK("http://ct.wwsires.com/bull/14HO07345","BASE-RED")</f>
        <v>BASE-RED</v>
      </c>
      <c r="B546" t="s">
        <v>1030</v>
      </c>
      <c r="C546" t="s">
        <v>1031</v>
      </c>
      <c r="D546">
        <v>2043</v>
      </c>
      <c r="E546">
        <v>937</v>
      </c>
      <c r="F546">
        <v>12</v>
      </c>
      <c r="G546" s="261">
        <v>-0.08</v>
      </c>
      <c r="H546">
        <v>30</v>
      </c>
      <c r="I546" s="261">
        <v>0.01</v>
      </c>
      <c r="J546" s="261">
        <v>0.58</v>
      </c>
      <c r="K546" s="261">
        <v>1.08</v>
      </c>
      <c r="L546" s="263">
        <v>5.1</v>
      </c>
      <c r="M546" s="252">
        <v>48</v>
      </c>
      <c r="N546" s="261">
        <v>2.59</v>
      </c>
      <c r="O546" s="263">
        <v>0.2</v>
      </c>
      <c r="P546" s="263">
        <v>0.4</v>
      </c>
      <c r="Q546" s="263">
        <v>7.7</v>
      </c>
    </row>
    <row r="547" spans="1:17" ht="12.75">
      <c r="A547" s="251" t="str">
        <f>HYPERLINK("http://ct.wwsires.com/bull/7HO12773","KENOSHA")</f>
        <v>KENOSHA</v>
      </c>
      <c r="B547" t="s">
        <v>1032</v>
      </c>
      <c r="C547" t="s">
        <v>1033</v>
      </c>
      <c r="D547">
        <v>2327</v>
      </c>
      <c r="E547">
        <v>479</v>
      </c>
      <c r="F547">
        <v>29</v>
      </c>
      <c r="G547" s="261">
        <v>0.04</v>
      </c>
      <c r="H547">
        <v>23</v>
      </c>
      <c r="I547" s="261">
        <v>0.03</v>
      </c>
      <c r="J547" s="261">
        <v>3.49</v>
      </c>
      <c r="K547" s="261">
        <v>2.9699999999999998</v>
      </c>
      <c r="L547" s="263">
        <v>3.5</v>
      </c>
      <c r="M547" s="252">
        <v>46</v>
      </c>
      <c r="N547" s="261">
        <v>2.7199999999999998</v>
      </c>
      <c r="O547" s="263">
        <v>1.5</v>
      </c>
      <c r="P547" s="263">
        <v>1.4</v>
      </c>
      <c r="Q547" s="263">
        <v>10.1</v>
      </c>
    </row>
    <row r="548" spans="1:17" ht="12.75">
      <c r="A548" s="251" t="str">
        <f>HYPERLINK("http://ct.wwsires.com/bull/14HO07229","CLEAR CUT")</f>
        <v>CLEAR CUT</v>
      </c>
      <c r="B548" t="s">
        <v>1034</v>
      </c>
      <c r="C548" t="s">
        <v>1035</v>
      </c>
      <c r="D548">
        <v>2228</v>
      </c>
      <c r="E548">
        <v>367</v>
      </c>
      <c r="F548">
        <v>25</v>
      </c>
      <c r="G548" s="261">
        <v>0.04</v>
      </c>
      <c r="H548">
        <v>19</v>
      </c>
      <c r="I548" s="261">
        <v>0.03</v>
      </c>
      <c r="J548" s="261">
        <v>2.71</v>
      </c>
      <c r="K548" s="261">
        <v>2.08</v>
      </c>
      <c r="L548" s="263">
        <v>3.5</v>
      </c>
      <c r="M548" s="252">
        <v>45</v>
      </c>
      <c r="N548" s="261">
        <v>2.6</v>
      </c>
      <c r="O548" s="263">
        <v>1.9</v>
      </c>
      <c r="P548" s="263">
        <v>1.9</v>
      </c>
      <c r="Q548" s="263">
        <v>8.2</v>
      </c>
    </row>
    <row r="549" spans="1:17" ht="12.75">
      <c r="A549" s="251" t="str">
        <f>HYPERLINK("http://ct.wwsires.com/bull/714HO00041","ISOLA")</f>
        <v>ISOLA</v>
      </c>
      <c r="B549" t="s">
        <v>1036</v>
      </c>
      <c r="C549" t="s">
        <v>1037</v>
      </c>
      <c r="D549">
        <v>2181</v>
      </c>
      <c r="E549">
        <v>-296</v>
      </c>
      <c r="F549">
        <v>23</v>
      </c>
      <c r="G549" s="261">
        <v>0.13</v>
      </c>
      <c r="H549">
        <v>13</v>
      </c>
      <c r="I549" s="261">
        <v>0.08</v>
      </c>
      <c r="J549" s="261">
        <v>0.77</v>
      </c>
      <c r="K549" s="261">
        <v>1.21</v>
      </c>
      <c r="L549" s="263">
        <v>6.2</v>
      </c>
      <c r="M549" s="252">
        <v>44</v>
      </c>
      <c r="N549" s="261">
        <v>2.67</v>
      </c>
      <c r="O549" s="263">
        <v>2.7</v>
      </c>
      <c r="P549" s="263">
        <v>2.9</v>
      </c>
      <c r="Q549" s="263">
        <v>5.5</v>
      </c>
    </row>
    <row r="550" spans="1:17" ht="12.75">
      <c r="A550" s="251" t="str">
        <f>HYPERLINK("http://ct.wwsires.com/bull/14HO07683","VICTOR")</f>
        <v>VICTOR</v>
      </c>
      <c r="B550" t="s">
        <v>1038</v>
      </c>
      <c r="C550" t="s">
        <v>1039</v>
      </c>
      <c r="D550">
        <v>2360</v>
      </c>
      <c r="E550">
        <v>842</v>
      </c>
      <c r="F550">
        <v>30</v>
      </c>
      <c r="G550" s="261">
        <v>-0.01</v>
      </c>
      <c r="H550">
        <v>18</v>
      </c>
      <c r="I550" s="261">
        <v>-0.02</v>
      </c>
      <c r="J550" s="261">
        <v>1.73</v>
      </c>
      <c r="K550" s="261">
        <v>1.6400000000000001</v>
      </c>
      <c r="L550" s="263">
        <v>7.1</v>
      </c>
      <c r="M550" s="252">
        <v>44</v>
      </c>
      <c r="N550" s="261">
        <v>2.51</v>
      </c>
      <c r="O550" s="263">
        <v>4.5</v>
      </c>
      <c r="P550" s="263">
        <v>4.2</v>
      </c>
      <c r="Q550" s="263">
        <v>6.3</v>
      </c>
    </row>
    <row r="551" spans="1:17" ht="12.75">
      <c r="A551" s="251" t="str">
        <f>HYPERLINK("http://ct.wwsires.com/bull/7HO13912","TARGET-RED")</f>
        <v>TARGET-RED</v>
      </c>
      <c r="B551" t="s">
        <v>1040</v>
      </c>
      <c r="C551" t="s">
        <v>1041</v>
      </c>
      <c r="D551">
        <v>2404</v>
      </c>
      <c r="E551">
        <v>1069</v>
      </c>
      <c r="F551">
        <v>17</v>
      </c>
      <c r="G551" s="261">
        <v>-0.08</v>
      </c>
      <c r="H551">
        <v>28</v>
      </c>
      <c r="I551" s="261">
        <v>-0.01</v>
      </c>
      <c r="J551" s="261">
        <v>1.6400000000000001</v>
      </c>
      <c r="K551" s="261">
        <v>2.03</v>
      </c>
      <c r="L551" s="263">
        <v>7.1</v>
      </c>
      <c r="M551" s="252">
        <v>43</v>
      </c>
      <c r="N551" s="261">
        <v>2.59</v>
      </c>
      <c r="O551" s="263">
        <v>4.6</v>
      </c>
      <c r="P551" s="263">
        <v>4.7</v>
      </c>
      <c r="Q551" s="263">
        <v>7.1</v>
      </c>
    </row>
    <row r="552" spans="1:17" ht="12.75">
      <c r="A552" s="251" t="str">
        <f>HYPERLINK("http://ct.wwsires.com/bull/7HO11118","BROKAW")</f>
        <v>BROKAW</v>
      </c>
      <c r="B552" t="s">
        <v>1042</v>
      </c>
      <c r="C552" t="s">
        <v>1043</v>
      </c>
      <c r="D552">
        <v>1928</v>
      </c>
      <c r="E552">
        <v>-110</v>
      </c>
      <c r="F552">
        <v>22</v>
      </c>
      <c r="G552" s="261">
        <v>0.1</v>
      </c>
      <c r="H552">
        <v>14</v>
      </c>
      <c r="I552" s="261">
        <v>0.06</v>
      </c>
      <c r="J552" s="261">
        <v>3.41</v>
      </c>
      <c r="K552" s="261">
        <v>2.41</v>
      </c>
      <c r="L552" s="263">
        <v>-3.1</v>
      </c>
      <c r="M552" s="252">
        <v>43</v>
      </c>
      <c r="N552" s="261">
        <v>3.19</v>
      </c>
      <c r="O552" s="263">
        <v>-0.1</v>
      </c>
      <c r="P552" s="263">
        <v>-0.4</v>
      </c>
      <c r="Q552" s="263">
        <v>12.1</v>
      </c>
    </row>
    <row r="553" spans="1:17" ht="12.75">
      <c r="A553" s="251" t="str">
        <f>HYPERLINK("http://ct.wwsires.com/bull/7HO13730","UNDENIED")</f>
        <v>UNDENIED</v>
      </c>
      <c r="B553" t="s">
        <v>1044</v>
      </c>
      <c r="C553" t="s">
        <v>1045</v>
      </c>
      <c r="D553">
        <v>2180</v>
      </c>
      <c r="E553">
        <v>238</v>
      </c>
      <c r="F553">
        <v>43</v>
      </c>
      <c r="G553" s="261">
        <v>0.13</v>
      </c>
      <c r="H553">
        <v>10</v>
      </c>
      <c r="I553" s="261">
        <v>0.01</v>
      </c>
      <c r="J553" s="261">
        <v>4.19</v>
      </c>
      <c r="K553" s="261">
        <v>2.33</v>
      </c>
      <c r="L553" s="263">
        <v>1.1</v>
      </c>
      <c r="M553" s="252">
        <v>41</v>
      </c>
      <c r="N553" s="261">
        <v>2.95</v>
      </c>
      <c r="O553" s="263">
        <v>0.4</v>
      </c>
      <c r="P553" s="263">
        <v>0</v>
      </c>
      <c r="Q553" s="263">
        <v>8.2</v>
      </c>
    </row>
    <row r="554" spans="1:17" ht="12.75">
      <c r="A554" s="251" t="str">
        <f>HYPERLINK("http://ct.wwsires.com/bull/714HO10006","PULSAR")</f>
        <v>PULSAR</v>
      </c>
      <c r="B554" t="s">
        <v>1046</v>
      </c>
      <c r="C554" t="s">
        <v>1047</v>
      </c>
      <c r="D554">
        <v>1938</v>
      </c>
      <c r="E554">
        <v>113</v>
      </c>
      <c r="F554">
        <v>10</v>
      </c>
      <c r="G554" s="261">
        <v>0.02</v>
      </c>
      <c r="H554">
        <v>13</v>
      </c>
      <c r="I554" s="261">
        <v>0.03</v>
      </c>
      <c r="J554" s="261">
        <v>0.37</v>
      </c>
      <c r="K554" s="261">
        <v>0.72</v>
      </c>
      <c r="L554" s="263">
        <v>4.8</v>
      </c>
      <c r="M554" s="252">
        <v>41</v>
      </c>
      <c r="N554" s="261">
        <v>2.95</v>
      </c>
      <c r="O554" s="263">
        <v>2.1</v>
      </c>
      <c r="P554" s="263">
        <v>2</v>
      </c>
      <c r="Q554" s="263">
        <v>6.9</v>
      </c>
    </row>
    <row r="555" spans="1:17" ht="12.75">
      <c r="A555" s="251" t="str">
        <f>HYPERLINK("http://ct.wwsires.com/bull/14HO05434","TRUMP")</f>
        <v>TRUMP</v>
      </c>
      <c r="B555" t="s">
        <v>1048</v>
      </c>
      <c r="C555" t="s">
        <v>1049</v>
      </c>
      <c r="D555">
        <v>1975</v>
      </c>
      <c r="E555">
        <v>1092</v>
      </c>
      <c r="F555">
        <v>29</v>
      </c>
      <c r="G555" s="261">
        <v>-0.04</v>
      </c>
      <c r="H555">
        <v>16</v>
      </c>
      <c r="I555" s="261">
        <v>-0.06</v>
      </c>
      <c r="J555" s="261">
        <v>1.35</v>
      </c>
      <c r="K555" s="261">
        <v>1.1</v>
      </c>
      <c r="L555" s="263">
        <v>2</v>
      </c>
      <c r="M555" s="252">
        <v>38</v>
      </c>
      <c r="N555" s="261">
        <v>2.85</v>
      </c>
      <c r="O555" s="263">
        <v>1</v>
      </c>
      <c r="P555" s="263">
        <v>0.9</v>
      </c>
      <c r="Q555" s="263">
        <v>9.2</v>
      </c>
    </row>
    <row r="556" spans="1:17" ht="12.75">
      <c r="A556" s="251" t="str">
        <f>HYPERLINK("http://ct.wwsires.com/bull/7HO10506","G W ATWOOD")</f>
        <v>G W ATWOOD</v>
      </c>
      <c r="B556" t="s">
        <v>1050</v>
      </c>
      <c r="C556" t="s">
        <v>1051</v>
      </c>
      <c r="D556">
        <v>1882</v>
      </c>
      <c r="E556">
        <v>-14</v>
      </c>
      <c r="F556">
        <v>29</v>
      </c>
      <c r="G556" s="261">
        <v>0.11</v>
      </c>
      <c r="H556">
        <v>4</v>
      </c>
      <c r="I556" s="261">
        <v>0.02</v>
      </c>
      <c r="J556" s="261">
        <v>3.62</v>
      </c>
      <c r="K556" s="261">
        <v>2.4699999999999998</v>
      </c>
      <c r="L556" s="263">
        <v>-0.6</v>
      </c>
      <c r="M556" s="252">
        <v>36</v>
      </c>
      <c r="N556" s="261">
        <v>3.05</v>
      </c>
      <c r="O556" s="263">
        <v>-2.6</v>
      </c>
      <c r="P556" s="263">
        <v>-3.2</v>
      </c>
      <c r="Q556" s="263">
        <v>8.4</v>
      </c>
    </row>
    <row r="557" spans="1:17" ht="12.75">
      <c r="A557" s="251" t="str">
        <f>HYPERLINK("http://ct.wwsires.com/bull/7HO12353","BEEMER")</f>
        <v>BEEMER</v>
      </c>
      <c r="B557" t="s">
        <v>1052</v>
      </c>
      <c r="C557" t="s">
        <v>1053</v>
      </c>
      <c r="D557">
        <v>1975</v>
      </c>
      <c r="E557">
        <v>313</v>
      </c>
      <c r="F557">
        <v>26</v>
      </c>
      <c r="G557" s="261">
        <v>0.05</v>
      </c>
      <c r="H557">
        <v>11</v>
      </c>
      <c r="I557" s="261">
        <v>0.01</v>
      </c>
      <c r="J557" s="261">
        <v>3.68</v>
      </c>
      <c r="K557" s="261">
        <v>2.76</v>
      </c>
      <c r="L557" s="263">
        <v>-1.8</v>
      </c>
      <c r="M557" s="252">
        <v>35</v>
      </c>
      <c r="N557" s="261">
        <v>2.98</v>
      </c>
      <c r="O557" s="263">
        <v>-2.7</v>
      </c>
      <c r="P557" s="263">
        <v>-2.7</v>
      </c>
      <c r="Q557" s="263">
        <v>7.3</v>
      </c>
    </row>
    <row r="558" spans="1:17" ht="12.75">
      <c r="A558" s="251" t="str">
        <f>HYPERLINK("http://ct.wwsires.com/bull/7HO13214","LINCOLN-PP")</f>
        <v>LINCOLN-PP</v>
      </c>
      <c r="B558" t="s">
        <v>1054</v>
      </c>
      <c r="C558" t="s">
        <v>1055</v>
      </c>
      <c r="D558">
        <v>2007</v>
      </c>
      <c r="E558">
        <v>147</v>
      </c>
      <c r="F558">
        <v>6</v>
      </c>
      <c r="G558" s="261">
        <v>0</v>
      </c>
      <c r="H558">
        <v>24</v>
      </c>
      <c r="I558" s="261">
        <v>0.07</v>
      </c>
      <c r="J558" s="261">
        <v>1.8199999999999998</v>
      </c>
      <c r="K558" s="261">
        <v>1.33</v>
      </c>
      <c r="L558" s="263">
        <v>2.7</v>
      </c>
      <c r="M558" s="252">
        <v>32</v>
      </c>
      <c r="N558" s="261">
        <v>2.91</v>
      </c>
      <c r="O558" s="263">
        <v>0.5</v>
      </c>
      <c r="P558" s="263">
        <v>1</v>
      </c>
      <c r="Q558" s="263">
        <v>8.7</v>
      </c>
    </row>
    <row r="559" spans="1:17" ht="12.75">
      <c r="A559" s="251" t="str">
        <f>HYPERLINK("http://ct.wwsires.com/bull/7HO12126","FLORES")</f>
        <v>FLORES</v>
      </c>
      <c r="B559" t="s">
        <v>1056</v>
      </c>
      <c r="C559" t="s">
        <v>1057</v>
      </c>
      <c r="D559">
        <v>2424</v>
      </c>
      <c r="E559">
        <v>947</v>
      </c>
      <c r="F559">
        <v>13</v>
      </c>
      <c r="G559" s="261">
        <v>-0.08</v>
      </c>
      <c r="H559">
        <v>25</v>
      </c>
      <c r="I559" s="261">
        <v>-0.01</v>
      </c>
      <c r="J559" s="261">
        <v>1.85</v>
      </c>
      <c r="K559" s="261">
        <v>1.13</v>
      </c>
      <c r="L559" s="263">
        <v>9</v>
      </c>
      <c r="M559" s="252">
        <v>29</v>
      </c>
      <c r="N559" s="261">
        <v>2.81</v>
      </c>
      <c r="O559" s="263">
        <v>6.6</v>
      </c>
      <c r="P559" s="263">
        <v>6.6</v>
      </c>
      <c r="Q559" s="263">
        <v>7.7</v>
      </c>
    </row>
    <row r="560" spans="1:17" ht="12.75">
      <c r="A560" s="251" t="str">
        <f>HYPERLINK("http://ct.wwsires.com/bull/714HO00021","SUPERMAN")</f>
        <v>SUPERMAN</v>
      </c>
      <c r="B560" t="s">
        <v>1058</v>
      </c>
      <c r="C560" t="s">
        <v>1059</v>
      </c>
      <c r="D560">
        <v>1881</v>
      </c>
      <c r="E560">
        <v>947</v>
      </c>
      <c r="F560">
        <v>-6</v>
      </c>
      <c r="G560" s="261">
        <v>-0.15</v>
      </c>
      <c r="H560">
        <v>27</v>
      </c>
      <c r="I560" s="261">
        <v>-0.01</v>
      </c>
      <c r="J560" s="261">
        <v>0.48</v>
      </c>
      <c r="K560" s="261">
        <v>0.18</v>
      </c>
      <c r="L560" s="263">
        <v>4.2</v>
      </c>
      <c r="M560" s="252">
        <v>27</v>
      </c>
      <c r="N560" s="261">
        <v>2.81</v>
      </c>
      <c r="O560" s="263">
        <v>1.3</v>
      </c>
      <c r="P560" s="263">
        <v>2.2</v>
      </c>
      <c r="Q560" s="263">
        <v>7.8</v>
      </c>
    </row>
    <row r="561" spans="1:17" ht="12.75">
      <c r="A561" s="251" t="str">
        <f>HYPERLINK("http://ct.wwsires.com/bull/250HO12475","HAGLEY")</f>
        <v>HAGLEY</v>
      </c>
      <c r="B561" t="s">
        <v>1060</v>
      </c>
      <c r="C561" t="s">
        <v>1061</v>
      </c>
      <c r="D561">
        <v>2330</v>
      </c>
      <c r="E561">
        <v>29</v>
      </c>
      <c r="F561">
        <v>11</v>
      </c>
      <c r="G561" s="261">
        <v>0.04</v>
      </c>
      <c r="H561">
        <v>15</v>
      </c>
      <c r="I561" s="261">
        <v>0.05</v>
      </c>
      <c r="J561" s="261">
        <v>1.75</v>
      </c>
      <c r="K561" s="261">
        <v>1.3900000000000001</v>
      </c>
      <c r="L561" s="263">
        <v>7.7</v>
      </c>
      <c r="M561" s="252">
        <v>23</v>
      </c>
      <c r="N561" s="261">
        <v>2.7</v>
      </c>
      <c r="O561" s="263">
        <v>6.5</v>
      </c>
      <c r="P561" s="263">
        <v>6.7</v>
      </c>
      <c r="Q561" s="263">
        <v>6</v>
      </c>
    </row>
    <row r="562" spans="1:17" ht="12.75">
      <c r="A562" s="251" t="str">
        <f>HYPERLINK("http://ct.wwsires.com/bull/7HO11497","RUDOLPH-RED")</f>
        <v>RUDOLPH-RED</v>
      </c>
      <c r="B562" t="s">
        <v>1062</v>
      </c>
      <c r="C562" t="s">
        <v>1063</v>
      </c>
      <c r="D562">
        <v>1979</v>
      </c>
      <c r="E562">
        <v>862</v>
      </c>
      <c r="F562">
        <v>20</v>
      </c>
      <c r="G562" s="261">
        <v>-0.04</v>
      </c>
      <c r="H562">
        <v>16</v>
      </c>
      <c r="I562" s="261">
        <v>-0.04</v>
      </c>
      <c r="J562" s="261">
        <v>1.08</v>
      </c>
      <c r="K562" s="261">
        <v>1.1400000000000001</v>
      </c>
      <c r="L562" s="263">
        <v>0.6</v>
      </c>
      <c r="M562" s="252">
        <v>23</v>
      </c>
      <c r="N562" s="261">
        <v>2.82</v>
      </c>
      <c r="O562" s="263">
        <v>0.8</v>
      </c>
      <c r="P562" s="263">
        <v>0.4</v>
      </c>
      <c r="Q562" s="263">
        <v>7.5</v>
      </c>
    </row>
    <row r="563" spans="1:17" ht="12.75">
      <c r="A563" s="251" t="str">
        <f>HYPERLINK("http://ct.wwsires.com/bull/7HO09264","DEMPSEY")</f>
        <v>DEMPSEY</v>
      </c>
      <c r="B563" t="s">
        <v>1064</v>
      </c>
      <c r="C563" t="s">
        <v>1065</v>
      </c>
      <c r="D563">
        <v>1903</v>
      </c>
      <c r="E563">
        <v>-429</v>
      </c>
      <c r="F563">
        <v>13</v>
      </c>
      <c r="G563" s="261">
        <v>0.11</v>
      </c>
      <c r="H563">
        <v>7</v>
      </c>
      <c r="I563" s="261">
        <v>0.08</v>
      </c>
      <c r="J563" s="261">
        <v>2.35</v>
      </c>
      <c r="K563" s="261">
        <v>1.81</v>
      </c>
      <c r="L563" s="263">
        <v>-1.1</v>
      </c>
      <c r="M563" s="252">
        <v>22</v>
      </c>
      <c r="N563" s="261">
        <v>2.63</v>
      </c>
      <c r="O563" s="263">
        <v>-1.4</v>
      </c>
      <c r="P563" s="263">
        <v>-1.2</v>
      </c>
      <c r="Q563" s="263">
        <v>8.6</v>
      </c>
    </row>
    <row r="564" spans="1:17" ht="12.75">
      <c r="A564" s="251" t="str">
        <f>HYPERLINK("http://ct.wwsires.com/bull/714HO00035","CAMERON")</f>
        <v>CAMERON</v>
      </c>
      <c r="B564" t="s">
        <v>1066</v>
      </c>
      <c r="C564" t="s">
        <v>1067</v>
      </c>
      <c r="D564">
        <v>2090</v>
      </c>
      <c r="E564">
        <v>320</v>
      </c>
      <c r="F564">
        <v>15</v>
      </c>
      <c r="G564" s="261">
        <v>0.01</v>
      </c>
      <c r="H564">
        <v>1</v>
      </c>
      <c r="I564" s="261">
        <v>-0.03</v>
      </c>
      <c r="J564" s="261">
        <v>0.79</v>
      </c>
      <c r="K564" s="261">
        <v>1.58</v>
      </c>
      <c r="L564" s="263">
        <v>6.2</v>
      </c>
      <c r="M564" s="252">
        <v>22</v>
      </c>
      <c r="N564" s="261">
        <v>2.92</v>
      </c>
      <c r="O564" s="263">
        <v>3.3</v>
      </c>
      <c r="P564" s="263">
        <v>2.8</v>
      </c>
      <c r="Q564" s="263">
        <v>6.3</v>
      </c>
    </row>
    <row r="565" spans="1:17" ht="12.75">
      <c r="A565" s="251" t="str">
        <f>HYPERLINK("http://ct.wwsires.com/bull/7HO10563","CARSON-RED")</f>
        <v>CARSON-RED</v>
      </c>
      <c r="B565" t="s">
        <v>1068</v>
      </c>
      <c r="C565" t="s">
        <v>1069</v>
      </c>
      <c r="D565">
        <v>1995</v>
      </c>
      <c r="E565">
        <v>1082</v>
      </c>
      <c r="F565">
        <v>4</v>
      </c>
      <c r="G565" s="261">
        <v>-0.13</v>
      </c>
      <c r="H565">
        <v>19</v>
      </c>
      <c r="I565" s="261">
        <v>-0.05</v>
      </c>
      <c r="J565" s="261">
        <v>1.47</v>
      </c>
      <c r="K565" s="261">
        <v>1.6400000000000001</v>
      </c>
      <c r="L565" s="263">
        <v>2.5</v>
      </c>
      <c r="M565" s="252">
        <v>20</v>
      </c>
      <c r="N565" s="261">
        <v>2.93</v>
      </c>
      <c r="O565" s="263">
        <v>1.5</v>
      </c>
      <c r="P565" s="263">
        <v>2.2</v>
      </c>
      <c r="Q565" s="263">
        <v>8.6</v>
      </c>
    </row>
    <row r="566" spans="1:17" ht="12.75">
      <c r="A566" s="251" t="str">
        <f>HYPERLINK("http://ct.wwsires.com/bull/7HO12395","SATURN")</f>
        <v>SATURN</v>
      </c>
      <c r="B566" t="s">
        <v>1070</v>
      </c>
      <c r="C566" t="s">
        <v>1071</v>
      </c>
      <c r="D566">
        <v>2328</v>
      </c>
      <c r="E566">
        <v>928</v>
      </c>
      <c r="F566">
        <v>23</v>
      </c>
      <c r="G566" s="261">
        <v>-0.04</v>
      </c>
      <c r="H566">
        <v>19</v>
      </c>
      <c r="I566" s="261">
        <v>-0.03</v>
      </c>
      <c r="J566" s="261">
        <v>3.26</v>
      </c>
      <c r="K566" s="261">
        <v>3.08</v>
      </c>
      <c r="L566" s="263">
        <v>5.1</v>
      </c>
      <c r="M566" s="252">
        <v>19</v>
      </c>
      <c r="N566" s="261">
        <v>2.64</v>
      </c>
      <c r="O566" s="263">
        <v>1.8</v>
      </c>
      <c r="P566" s="263">
        <v>1.6</v>
      </c>
      <c r="Q566" s="263">
        <v>7.7</v>
      </c>
    </row>
    <row r="567" spans="1:17" ht="12.75">
      <c r="A567" s="251" t="str">
        <f>HYPERLINK("http://ct.wwsires.com/bull/7HO13839","TATOO")</f>
        <v>TATOO</v>
      </c>
      <c r="B567" t="s">
        <v>1072</v>
      </c>
      <c r="C567" t="s">
        <v>1073</v>
      </c>
      <c r="D567">
        <v>2259</v>
      </c>
      <c r="E567">
        <v>50</v>
      </c>
      <c r="F567">
        <v>7</v>
      </c>
      <c r="G567" s="261">
        <v>0.02</v>
      </c>
      <c r="H567">
        <v>11</v>
      </c>
      <c r="I567" s="261">
        <v>0.04</v>
      </c>
      <c r="J567" s="261">
        <v>3.98</v>
      </c>
      <c r="K567" s="261">
        <v>3.56</v>
      </c>
      <c r="L567" s="263">
        <v>4.9</v>
      </c>
      <c r="M567" s="252">
        <v>19</v>
      </c>
      <c r="N567" s="261">
        <v>2.5300000000000002</v>
      </c>
      <c r="O567" s="263">
        <v>0.4</v>
      </c>
      <c r="P567" s="263">
        <v>-0.1</v>
      </c>
      <c r="Q567" s="263">
        <v>6.5</v>
      </c>
    </row>
    <row r="568" spans="1:17" ht="12.75">
      <c r="A568" s="251" t="str">
        <f>HYPERLINK("http://ct.wwsires.com/bull/250HO12805","CALLEN")</f>
        <v>CALLEN</v>
      </c>
      <c r="B568" t="s">
        <v>1074</v>
      </c>
      <c r="C568" t="s">
        <v>1075</v>
      </c>
      <c r="D568">
        <v>2286</v>
      </c>
      <c r="E568">
        <v>375</v>
      </c>
      <c r="F568">
        <v>24</v>
      </c>
      <c r="G568" s="261">
        <v>0.04</v>
      </c>
      <c r="H568">
        <v>6</v>
      </c>
      <c r="I568" s="261">
        <v>-0.02</v>
      </c>
      <c r="J568" s="261">
        <v>3.21</v>
      </c>
      <c r="K568" s="261">
        <v>3.05</v>
      </c>
      <c r="L568" s="263">
        <v>6.2</v>
      </c>
      <c r="M568" s="252">
        <v>19</v>
      </c>
      <c r="N568" s="261">
        <v>2.8</v>
      </c>
      <c r="O568" s="263">
        <v>2</v>
      </c>
      <c r="P568" s="263">
        <v>1.9</v>
      </c>
      <c r="Q568" s="263">
        <v>5.3</v>
      </c>
    </row>
    <row r="569" spans="1:17" ht="12.75">
      <c r="A569" s="251" t="str">
        <f>HYPERLINK("http://ct.wwsires.com/bull/714HO00027","POSEIDON")</f>
        <v>POSEIDON</v>
      </c>
      <c r="B569" t="s">
        <v>1076</v>
      </c>
      <c r="C569" t="s">
        <v>1077</v>
      </c>
      <c r="D569">
        <v>2132</v>
      </c>
      <c r="E569">
        <v>227</v>
      </c>
      <c r="F569">
        <v>14</v>
      </c>
      <c r="G569" s="261">
        <v>0.02</v>
      </c>
      <c r="H569">
        <v>11</v>
      </c>
      <c r="I569" s="261">
        <v>0.01</v>
      </c>
      <c r="J569" s="261">
        <v>1.9</v>
      </c>
      <c r="K569" s="261">
        <v>1.58</v>
      </c>
      <c r="L569" s="263">
        <v>6</v>
      </c>
      <c r="M569" s="252">
        <v>18</v>
      </c>
      <c r="N569" s="261">
        <v>2.66</v>
      </c>
      <c r="O569" s="263">
        <v>1.9</v>
      </c>
      <c r="P569" s="263">
        <v>2.3</v>
      </c>
      <c r="Q569" s="263">
        <v>7.8</v>
      </c>
    </row>
    <row r="570" spans="1:17" ht="12.75">
      <c r="A570" s="251" t="str">
        <f>HYPERLINK("http://ct.wwsires.com/bull/7HO12587","DIAMONDBACK*RC")</f>
        <v>DIAMONDBACK*RC</v>
      </c>
      <c r="B570" t="s">
        <v>1078</v>
      </c>
      <c r="C570" t="s">
        <v>1079</v>
      </c>
      <c r="D570">
        <v>1973</v>
      </c>
      <c r="E570">
        <v>-349</v>
      </c>
      <c r="F570">
        <v>9</v>
      </c>
      <c r="G570" s="261">
        <v>0.08</v>
      </c>
      <c r="H570">
        <v>10</v>
      </c>
      <c r="I570" s="261">
        <v>0.08</v>
      </c>
      <c r="J570" s="261">
        <v>3.29</v>
      </c>
      <c r="K570" s="261">
        <v>2.5300000000000002</v>
      </c>
      <c r="L570" s="263">
        <v>0.5</v>
      </c>
      <c r="M570" s="252">
        <v>17</v>
      </c>
      <c r="N570" s="261">
        <v>2.98</v>
      </c>
      <c r="O570" s="263">
        <v>-1</v>
      </c>
      <c r="P570" s="263">
        <v>-1.1</v>
      </c>
      <c r="Q570" s="263">
        <v>10.1</v>
      </c>
    </row>
    <row r="571" spans="1:17" ht="12.75">
      <c r="A571" s="251" t="str">
        <f>HYPERLINK("http://ct.wwsires.com/bull/714HO10003","CANYON")</f>
        <v>CANYON</v>
      </c>
      <c r="B571" t="s">
        <v>1080</v>
      </c>
      <c r="C571" t="s">
        <v>1081</v>
      </c>
      <c r="D571">
        <v>1786</v>
      </c>
      <c r="E571">
        <v>-789</v>
      </c>
      <c r="F571">
        <v>25</v>
      </c>
      <c r="G571" s="261">
        <v>0.2</v>
      </c>
      <c r="H571">
        <v>-10</v>
      </c>
      <c r="I571" s="261">
        <v>0.05</v>
      </c>
      <c r="J571" s="261">
        <v>1.06</v>
      </c>
      <c r="K571" s="261">
        <v>0.73</v>
      </c>
      <c r="L571" s="263">
        <v>0.7</v>
      </c>
      <c r="M571" s="252">
        <v>10</v>
      </c>
      <c r="N571" s="261">
        <v>2.92</v>
      </c>
      <c r="O571" s="263">
        <v>0.1</v>
      </c>
      <c r="P571" s="263">
        <v>0.3</v>
      </c>
      <c r="Q571" s="263">
        <v>8.4</v>
      </c>
    </row>
    <row r="572" spans="1:17" ht="12.75">
      <c r="A572" s="251" t="str">
        <f>HYPERLINK("http://ct.wwsires.com/bull/7HO12042","CORVETTE")</f>
        <v>CORVETTE</v>
      </c>
      <c r="B572" t="s">
        <v>1082</v>
      </c>
      <c r="C572" t="s">
        <v>1083</v>
      </c>
      <c r="D572">
        <v>2007</v>
      </c>
      <c r="E572">
        <v>174</v>
      </c>
      <c r="F572">
        <v>18</v>
      </c>
      <c r="G572" s="261">
        <v>0.04</v>
      </c>
      <c r="H572">
        <v>13</v>
      </c>
      <c r="I572" s="261">
        <v>0.03</v>
      </c>
      <c r="J572" s="261">
        <v>2.73</v>
      </c>
      <c r="K572" s="261">
        <v>1.78</v>
      </c>
      <c r="L572" s="263">
        <v>-0.9</v>
      </c>
      <c r="M572" s="252">
        <v>9</v>
      </c>
      <c r="N572" s="261">
        <v>2.66</v>
      </c>
      <c r="O572" s="263">
        <v>-0.8</v>
      </c>
      <c r="P572" s="263">
        <v>-0.7</v>
      </c>
      <c r="Q572" s="263">
        <v>6.3</v>
      </c>
    </row>
    <row r="573" spans="1:17" ht="12.75">
      <c r="A573" s="251" t="str">
        <f>HYPERLINK("http://ct.wwsires.com/bull/14HO07898","LOADED")</f>
        <v>LOADED</v>
      </c>
      <c r="B573" t="s">
        <v>1084</v>
      </c>
      <c r="C573" t="s">
        <v>1085</v>
      </c>
      <c r="D573">
        <v>2215</v>
      </c>
      <c r="E573">
        <v>-239</v>
      </c>
      <c r="F573">
        <v>4</v>
      </c>
      <c r="G573" s="261">
        <v>0.05</v>
      </c>
      <c r="H573">
        <v>10</v>
      </c>
      <c r="I573" s="261">
        <v>0.06</v>
      </c>
      <c r="J573" s="261">
        <v>3.21</v>
      </c>
      <c r="K573" s="261">
        <v>3.08</v>
      </c>
      <c r="L573" s="263">
        <v>3.8</v>
      </c>
      <c r="M573" s="252">
        <v>9</v>
      </c>
      <c r="N573" s="261">
        <v>2.64</v>
      </c>
      <c r="O573" s="263">
        <v>2.2</v>
      </c>
      <c r="P573" s="263">
        <v>2</v>
      </c>
      <c r="Q573" s="263">
        <v>7.6</v>
      </c>
    </row>
    <row r="574" spans="1:17" ht="12.75">
      <c r="A574" s="251" t="str">
        <f>HYPERLINK("http://ct.wwsires.com/bull/250HO12589","JACOBY")</f>
        <v>JACOBY</v>
      </c>
      <c r="B574" t="s">
        <v>1086</v>
      </c>
      <c r="C574" t="s">
        <v>1087</v>
      </c>
      <c r="D574">
        <v>2009</v>
      </c>
      <c r="E574">
        <v>-13</v>
      </c>
      <c r="F574">
        <v>26</v>
      </c>
      <c r="G574" s="261">
        <v>0.1</v>
      </c>
      <c r="H574">
        <v>-2</v>
      </c>
      <c r="I574" s="261">
        <v>-0.01</v>
      </c>
      <c r="J574" s="261">
        <v>3.9</v>
      </c>
      <c r="K574" s="261">
        <v>3.06</v>
      </c>
      <c r="L574" s="263">
        <v>1.1</v>
      </c>
      <c r="M574" s="252">
        <v>-2</v>
      </c>
      <c r="N574" s="261">
        <v>2.65</v>
      </c>
      <c r="O574" s="263">
        <v>-1.9</v>
      </c>
      <c r="P574" s="263">
        <v>-2.5</v>
      </c>
      <c r="Q574" s="263">
        <v>9</v>
      </c>
    </row>
    <row r="575" spans="1:17" ht="12.75">
      <c r="A575" s="251" t="str">
        <f>HYPERLINK("http://ct.wwsires.com/bull/714HO00032","DREAM-P")</f>
        <v>DREAM-P</v>
      </c>
      <c r="B575" t="s">
        <v>1088</v>
      </c>
      <c r="C575" t="s">
        <v>1089</v>
      </c>
      <c r="D575">
        <v>1862</v>
      </c>
      <c r="E575">
        <v>162</v>
      </c>
      <c r="F575">
        <v>-3</v>
      </c>
      <c r="G575" s="261">
        <v>-0.03</v>
      </c>
      <c r="H575">
        <v>2</v>
      </c>
      <c r="I575" s="261">
        <v>-0.01</v>
      </c>
      <c r="J575" s="261">
        <v>1.17</v>
      </c>
      <c r="K575" s="261">
        <v>1.48</v>
      </c>
      <c r="L575" s="263">
        <v>2.1</v>
      </c>
      <c r="M575" s="252">
        <v>-7</v>
      </c>
      <c r="N575" s="261">
        <v>2.89</v>
      </c>
      <c r="O575" s="263">
        <v>1.4</v>
      </c>
      <c r="P575" s="263">
        <v>1.1</v>
      </c>
      <c r="Q575" s="263">
        <v>7.6</v>
      </c>
    </row>
    <row r="576" spans="1:17" ht="12.75">
      <c r="A576" s="251" t="str">
        <f>HYPERLINK("http://ct.wwsires.com/bull/7HO12921","WILSON")</f>
        <v>WILSON</v>
      </c>
      <c r="B576" t="s">
        <v>1090</v>
      </c>
      <c r="C576" t="s">
        <v>1091</v>
      </c>
      <c r="D576">
        <v>1999</v>
      </c>
      <c r="E576">
        <v>-181</v>
      </c>
      <c r="F576">
        <v>7</v>
      </c>
      <c r="G576" s="261">
        <v>0.05</v>
      </c>
      <c r="H576">
        <v>4</v>
      </c>
      <c r="I576" s="261">
        <v>0.04</v>
      </c>
      <c r="J576" s="261">
        <v>3.87</v>
      </c>
      <c r="K576" s="261">
        <v>3.13</v>
      </c>
      <c r="L576" s="263">
        <v>0.7</v>
      </c>
      <c r="M576" s="252">
        <v>-8</v>
      </c>
      <c r="N576" s="261">
        <v>2.64</v>
      </c>
      <c r="O576" s="263">
        <v>-1.5</v>
      </c>
      <c r="P576" s="263">
        <v>-1.9</v>
      </c>
      <c r="Q576" s="263">
        <v>9.4</v>
      </c>
    </row>
    <row r="577" spans="1:17" ht="12.75">
      <c r="A577" s="251" t="str">
        <f>HYPERLINK("http://ct.wwsires.com/bull/714HO00024","AMOTORY")</f>
        <v>AMOTORY</v>
      </c>
      <c r="B577" t="s">
        <v>1092</v>
      </c>
      <c r="C577" t="s">
        <v>1093</v>
      </c>
      <c r="D577">
        <v>1956</v>
      </c>
      <c r="E577">
        <v>324</v>
      </c>
      <c r="F577">
        <v>0</v>
      </c>
      <c r="G577" s="261">
        <v>-0.04</v>
      </c>
      <c r="H577">
        <v>1</v>
      </c>
      <c r="I577" s="261">
        <v>-0.03</v>
      </c>
      <c r="J577" s="261">
        <v>1.88</v>
      </c>
      <c r="K577" s="261">
        <v>1.98</v>
      </c>
      <c r="L577" s="263">
        <v>5.1</v>
      </c>
      <c r="M577" s="252">
        <v>-9</v>
      </c>
      <c r="N577" s="261">
        <v>2.81</v>
      </c>
      <c r="O577" s="263">
        <v>0.4</v>
      </c>
      <c r="P577" s="263">
        <v>0.2</v>
      </c>
      <c r="Q577" s="263">
        <v>7.2</v>
      </c>
    </row>
    <row r="578" spans="1:17" ht="12.75">
      <c r="A578" s="251" t="str">
        <f>HYPERLINK("http://ct.wwsires.com/bull/14HO06809","AIRLIFT")</f>
        <v>AIRLIFT</v>
      </c>
      <c r="B578" t="s">
        <v>1094</v>
      </c>
      <c r="C578" t="s">
        <v>1095</v>
      </c>
      <c r="D578">
        <v>1933</v>
      </c>
      <c r="E578">
        <v>890</v>
      </c>
      <c r="F578">
        <v>27</v>
      </c>
      <c r="G578" s="261">
        <v>-0.02</v>
      </c>
      <c r="H578">
        <v>5</v>
      </c>
      <c r="I578" s="261">
        <v>-0.08</v>
      </c>
      <c r="J578" s="261">
        <v>3.2800000000000002</v>
      </c>
      <c r="K578" s="261">
        <v>1.54</v>
      </c>
      <c r="L578" s="263">
        <v>0.4</v>
      </c>
      <c r="M578" s="252">
        <v>-14</v>
      </c>
      <c r="N578" s="261">
        <v>2.9</v>
      </c>
      <c r="O578" s="263">
        <v>-1.2</v>
      </c>
      <c r="P578" s="263">
        <v>-1.8</v>
      </c>
      <c r="Q578" s="263">
        <v>7.9</v>
      </c>
    </row>
    <row r="579" spans="1:17" ht="12.75">
      <c r="A579" s="251" t="str">
        <f>HYPERLINK("http://ct.wwsires.com/bull/7HO13777","WIPE OUT")</f>
        <v>WIPE OUT</v>
      </c>
      <c r="B579" t="s">
        <v>1096</v>
      </c>
      <c r="C579" t="s">
        <v>1097</v>
      </c>
      <c r="D579">
        <v>2033</v>
      </c>
      <c r="E579">
        <v>-46</v>
      </c>
      <c r="F579">
        <v>13</v>
      </c>
      <c r="G579" s="261">
        <v>0.05</v>
      </c>
      <c r="H579">
        <v>-5</v>
      </c>
      <c r="I579" s="261">
        <v>-0.01</v>
      </c>
      <c r="J579" s="261">
        <v>3.23</v>
      </c>
      <c r="K579" s="261">
        <v>2.61</v>
      </c>
      <c r="L579" s="263">
        <v>1.1</v>
      </c>
      <c r="M579" s="252">
        <v>-18</v>
      </c>
      <c r="N579" s="261">
        <v>2.7</v>
      </c>
      <c r="O579" s="263">
        <v>1.2</v>
      </c>
      <c r="P579" s="263">
        <v>0.8</v>
      </c>
      <c r="Q579" s="263">
        <v>8.9</v>
      </c>
    </row>
    <row r="580" spans="1:17" ht="12.75">
      <c r="A580" s="251" t="str">
        <f>HYPERLINK("http://ct.wwsires.com/bull/7HO12922","DELIGHT")</f>
        <v>DELIGHT</v>
      </c>
      <c r="B580" t="s">
        <v>1098</v>
      </c>
      <c r="C580" t="s">
        <v>1099</v>
      </c>
      <c r="D580">
        <v>1867</v>
      </c>
      <c r="E580">
        <v>-141</v>
      </c>
      <c r="F580">
        <v>1</v>
      </c>
      <c r="G580" s="261">
        <v>0.03</v>
      </c>
      <c r="H580">
        <v>0</v>
      </c>
      <c r="I580" s="261">
        <v>0.02</v>
      </c>
      <c r="J580" s="261">
        <v>4.18</v>
      </c>
      <c r="K580" s="261">
        <v>3.1</v>
      </c>
      <c r="L580" s="263">
        <v>-0.9</v>
      </c>
      <c r="M580" s="252">
        <v>-23</v>
      </c>
      <c r="N580" s="261">
        <v>3.15</v>
      </c>
      <c r="O580" s="263">
        <v>-1.3</v>
      </c>
      <c r="P580" s="263">
        <v>-1.4</v>
      </c>
      <c r="Q580" s="263">
        <v>11.1</v>
      </c>
    </row>
    <row r="581" spans="1:17" ht="12.75">
      <c r="A581" s="251" t="str">
        <f>HYPERLINK("http://ct.wwsires.com/bull/7HO10999","BRADNICK")</f>
        <v>BRADNICK</v>
      </c>
      <c r="B581" t="s">
        <v>1100</v>
      </c>
      <c r="C581" t="s">
        <v>1101</v>
      </c>
      <c r="D581">
        <v>1891</v>
      </c>
      <c r="E581">
        <v>809</v>
      </c>
      <c r="F581">
        <v>-24</v>
      </c>
      <c r="G581" s="261">
        <v>-0.19</v>
      </c>
      <c r="H581">
        <v>12</v>
      </c>
      <c r="I581" s="261">
        <v>-0.05</v>
      </c>
      <c r="J581" s="261">
        <v>2.45</v>
      </c>
      <c r="K581" s="261">
        <v>2.62</v>
      </c>
      <c r="L581" s="263">
        <v>3.3</v>
      </c>
      <c r="M581" s="252">
        <v>-39</v>
      </c>
      <c r="N581" s="261">
        <v>3.12</v>
      </c>
      <c r="O581" s="263">
        <v>-1.2</v>
      </c>
      <c r="P581" s="263">
        <v>-1.6</v>
      </c>
      <c r="Q581" s="263">
        <v>8</v>
      </c>
    </row>
    <row r="582" spans="1:17" ht="12.75">
      <c r="A582" s="251" t="str">
        <f>HYPERLINK("http://ct.wwsires.com/bull/7HO10920","GOLD CHIP")</f>
        <v>GOLD CHIP</v>
      </c>
      <c r="B582" t="s">
        <v>1102</v>
      </c>
      <c r="C582" t="s">
        <v>1103</v>
      </c>
      <c r="D582">
        <v>1832</v>
      </c>
      <c r="E582">
        <v>-233</v>
      </c>
      <c r="F582">
        <v>-1</v>
      </c>
      <c r="G582" s="261">
        <v>0.03</v>
      </c>
      <c r="H582">
        <v>-22</v>
      </c>
      <c r="I582" s="261">
        <v>-0.06</v>
      </c>
      <c r="J582" s="261">
        <v>2.36</v>
      </c>
      <c r="K582" s="261">
        <v>2.19</v>
      </c>
      <c r="L582" s="263">
        <v>2.1</v>
      </c>
      <c r="M582" s="252">
        <v>-54</v>
      </c>
      <c r="N582" s="261">
        <v>2.66</v>
      </c>
      <c r="O582" s="263">
        <v>-0.4</v>
      </c>
      <c r="P582" s="263">
        <v>-0.5</v>
      </c>
      <c r="Q582" s="263">
        <v>5.1</v>
      </c>
    </row>
    <row r="583" spans="1:17" ht="12.75">
      <c r="A583" s="251" t="str">
        <f>HYPERLINK("http://ct.wwsires.com/bull/7HO11596","DEFIANT *RC")</f>
        <v>DEFIANT *RC</v>
      </c>
      <c r="B583" t="s">
        <v>1104</v>
      </c>
      <c r="C583" t="s">
        <v>1105</v>
      </c>
      <c r="D583">
        <v>1643</v>
      </c>
      <c r="E583">
        <v>539</v>
      </c>
      <c r="F583">
        <v>-30</v>
      </c>
      <c r="G583" s="261">
        <v>-0.18</v>
      </c>
      <c r="H583">
        <v>5</v>
      </c>
      <c r="I583" s="261">
        <v>-0.04</v>
      </c>
      <c r="J583" s="261">
        <v>3.35</v>
      </c>
      <c r="K583" s="261">
        <v>2.35</v>
      </c>
      <c r="L583" s="263">
        <v>-1.1</v>
      </c>
      <c r="M583" s="252">
        <v>-54</v>
      </c>
      <c r="N583" s="261">
        <v>3.14</v>
      </c>
      <c r="O583" s="263">
        <v>-2.3</v>
      </c>
      <c r="P583" s="263">
        <v>-2.4</v>
      </c>
      <c r="Q583" s="263">
        <v>11.8</v>
      </c>
    </row>
  </sheetData>
  <sheetProtection password="C742" sheet="1"/>
  <mergeCells count="1">
    <mergeCell ref="A2:E5"/>
  </mergeCells>
  <printOptions/>
  <pageMargins left="0.75" right="0.75" top="1" bottom="1" header="0.5" footer="0.5"/>
  <pageSetup horizontalDpi="300" verticalDpi="3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Tyszecki</dc:creator>
  <cp:keywords/>
  <dc:description/>
  <cp:lastModifiedBy>T410</cp:lastModifiedBy>
  <cp:lastPrinted>2018-03-13T12:18:39Z</cp:lastPrinted>
  <dcterms:created xsi:type="dcterms:W3CDTF">2018-03-12T09:33:03Z</dcterms:created>
  <dcterms:modified xsi:type="dcterms:W3CDTF">2018-03-13T18:13:56Z</dcterms:modified>
  <cp:category/>
  <cp:version/>
  <cp:contentType/>
  <cp:contentStatus/>
</cp:coreProperties>
</file>